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pptodiciembre2016  " sheetId="1" r:id="rId1"/>
  </sheets>
  <externalReferences>
    <externalReference r:id="rId4"/>
  </externalReferences>
  <definedNames>
    <definedName name="Excel_BuiltIn_Print_Area_10">"$#REF!.$A$2;$#REF!.$A$19;$#REF!.$A$1:$M$132"</definedName>
    <definedName name="Excel_BuiltIn_Print_Area_5">"$#REF!.$C$116;$#REF!.$A$1:$L$133"</definedName>
    <definedName name="Excel_BuiltIn_Print_Area_5_1">#N/A</definedName>
    <definedName name="Excel_BuiltIn_Print_Area_6">"$#REF!.$O$126;$#REF!.$A$1:$M$130;$#REF!.$B$3;$#REF!.$A$1:$M$130"</definedName>
    <definedName name="Excel_BuiltIn_Print_Area_6_1">#N/A</definedName>
    <definedName name="Excel_BuiltIn_Print_Area_7">"$#REF!.$A$1:$M$131"</definedName>
    <definedName name="Excel_BuiltIn_Print_Area_7_1">"$#REF!.$A$1:$M$141"</definedName>
    <definedName name="Excel_BuiltIn_Print_Area_9">"$#REF!.$A$99:$L$120"</definedName>
    <definedName name="Excel_BuiltIn_Print_Titles_10">"$#REF!.$A$1:$IV$7"</definedName>
    <definedName name="Excel_BuiltIn_Print_Titles_11">"$#REF!.$A$1:$IV$7"</definedName>
    <definedName name="Excel_BuiltIn_Print_Titles_12">"$#REF!.$A$1:$IV$7"</definedName>
    <definedName name="Excel_BuiltIn_Print_Titles_2">"$#REF!.$A$1:$IV$8"</definedName>
    <definedName name="Excel_BuiltIn_Print_Titles_3">"$#REF!.$A$1:$IV$8"</definedName>
    <definedName name="Excel_BuiltIn_Print_Titles_4">"$#REF!.$A$1:$IV$8"</definedName>
    <definedName name="Excel_BuiltIn_Print_Titles_5">"$#REF!.$A$1:$IV$8"</definedName>
    <definedName name="Excel_BuiltIn_Print_Titles_6">"$#REF!.$A$1:$IV$8"</definedName>
    <definedName name="Excel_BuiltIn_Print_Titles_7">"$#REF!.$A$1:$IV$7"</definedName>
    <definedName name="Excel_BuiltIn_Print_Titles_8">"$#REF!.$A$1:$IV$7"</definedName>
    <definedName name="Excel_BuiltIn_Print_Titles_9">"$#REF!.$A$1:$IV$7"</definedName>
    <definedName name="_xlnm.Print_Titles" localSheetId="0">'pptodiciembre2016  '!$2:$11</definedName>
  </definedNames>
  <calcPr fullCalcOnLoad="1"/>
</workbook>
</file>

<file path=xl/sharedStrings.xml><?xml version="1.0" encoding="utf-8"?>
<sst xmlns="http://schemas.openxmlformats.org/spreadsheetml/2006/main" count="372" uniqueCount="348">
  <si>
    <t>BENEFICENCIA DE CUNDINAMARCA</t>
  </si>
  <si>
    <t>SUBGERENCIA FINANCIERA</t>
  </si>
  <si>
    <t xml:space="preserve">EJECUCION PASIVA DEL 1  DEDICIEMBRE AL  31 DE  DICIEMBRE DE 2016 </t>
  </si>
  <si>
    <t>EJECUCION PASIVA DEL 1  DE ENERO AL 31 DE DICIEMBRE  2016 ACUMULADA</t>
  </si>
  <si>
    <t>PRESUPUESTO</t>
  </si>
  <si>
    <t>CREDITOS</t>
  </si>
  <si>
    <t>REDUCCION</t>
  </si>
  <si>
    <t>CONTRACREDITO</t>
  </si>
  <si>
    <t>PRESUPUES-</t>
  </si>
  <si>
    <t>ACUMULADO</t>
  </si>
  <si>
    <t>EJECUTADO</t>
  </si>
  <si>
    <t>RESERVAS</t>
  </si>
  <si>
    <t>TOTAL EJECUTADO</t>
  </si>
  <si>
    <t>SALDO DE</t>
  </si>
  <si>
    <t xml:space="preserve">% TOTAL </t>
  </si>
  <si>
    <t>RUBRO</t>
  </si>
  <si>
    <t>CONCEPTO</t>
  </si>
  <si>
    <t>INICIAL APRO-</t>
  </si>
  <si>
    <t>TO CON TRAS-</t>
  </si>
  <si>
    <t>NOVIEMBRE</t>
  </si>
  <si>
    <t>DICIEMBRE</t>
  </si>
  <si>
    <t>CUENTAS POR PAGAR</t>
  </si>
  <si>
    <t>PPTAL</t>
  </si>
  <si>
    <t>AÑO 2016</t>
  </si>
  <si>
    <t>APROPIACION</t>
  </si>
  <si>
    <t>BADO  2016</t>
  </si>
  <si>
    <t>TALES 2016</t>
  </si>
  <si>
    <t>DECRETO 448/2016</t>
  </si>
  <si>
    <t xml:space="preserve">LADOS </t>
  </si>
  <si>
    <t>Y APROPIADO</t>
  </si>
  <si>
    <t>GD 3</t>
  </si>
  <si>
    <t>GASTOS DE FUNCIONAMIENTO</t>
  </si>
  <si>
    <t>GD11</t>
  </si>
  <si>
    <t>GASTOS DE PERSONAL</t>
  </si>
  <si>
    <t>GD110101</t>
  </si>
  <si>
    <t>SUELDO PERSONAL NOMINA</t>
  </si>
  <si>
    <t>GD110102</t>
  </si>
  <si>
    <t>INDEMNIZACION POR VACACIONES</t>
  </si>
  <si>
    <t>GD110103</t>
  </si>
  <si>
    <t>HORAS EXTRAS Y DIAS FERIADOS</t>
  </si>
  <si>
    <t>GD110104</t>
  </si>
  <si>
    <t>PRIMA TECNICA</t>
  </si>
  <si>
    <t>GD110201</t>
  </si>
  <si>
    <t>GASTOS DE REPRESENTACION</t>
  </si>
  <si>
    <t>GD110202</t>
  </si>
  <si>
    <t>SOBRESUELDO 20%</t>
  </si>
  <si>
    <t>GD110204</t>
  </si>
  <si>
    <t>BONIFICACIÓN ESPECIAL DE RECREACION</t>
  </si>
  <si>
    <t>GD110206</t>
  </si>
  <si>
    <t>PRIMA SEMESTRAL DE SERVICIOS</t>
  </si>
  <si>
    <t>GD110208</t>
  </si>
  <si>
    <t>PRIMA DE VACACIONES</t>
  </si>
  <si>
    <t>GD110209</t>
  </si>
  <si>
    <t>PRIMA DE NAVIDAD</t>
  </si>
  <si>
    <t>GD110213</t>
  </si>
  <si>
    <t>INDEMNIZACIONES</t>
  </si>
  <si>
    <t>GD110214</t>
  </si>
  <si>
    <t>PAGOS POR RECONOCIMIENTO</t>
  </si>
  <si>
    <t>GD110215</t>
  </si>
  <si>
    <t>SUBSIDIO DE ALIMENTACION</t>
  </si>
  <si>
    <t>GD110216</t>
  </si>
  <si>
    <t>BONIFICACIÓN POR SERVICIOS PRESTADOS</t>
  </si>
  <si>
    <t>GD110217</t>
  </si>
  <si>
    <t>INDEMNIZACION POR PERDIDA DE CAPACIDAD LABORAL</t>
  </si>
  <si>
    <t>GD110218</t>
  </si>
  <si>
    <t>GASTOS PROCESOS DE SELECCIÓN</t>
  </si>
  <si>
    <t>GD110303</t>
  </si>
  <si>
    <t>REMUNERACION SERVICIOS TECNICOS</t>
  </si>
  <si>
    <t>GD110318</t>
  </si>
  <si>
    <t>HONORARIOS JUNTA REGIONAL CERTIFICACION DE IVALIDEZ</t>
  </si>
  <si>
    <t>GD110402</t>
  </si>
  <si>
    <t>CESANTIAS-E INTERESES FONDOS PRIVADOS</t>
  </si>
  <si>
    <t>GD110506</t>
  </si>
  <si>
    <t>APORT SEGURIDAD SOC. SERVICIO MEDICO</t>
  </si>
  <si>
    <t>GD110507</t>
  </si>
  <si>
    <t>APORTES SEGURIDAD SOCIAL PENSIONES</t>
  </si>
  <si>
    <t>GD110508</t>
  </si>
  <si>
    <t>APORTE PREVISION SOCIAL ATEP</t>
  </si>
  <si>
    <t>GD110601</t>
  </si>
  <si>
    <t>SERVICIOS NACIONAL DE APRENDIZ SENA</t>
  </si>
  <si>
    <t>GD110602</t>
  </si>
  <si>
    <t>INST.COLOMBIA BIENESTAR FLIAR I.C.B.F</t>
  </si>
  <si>
    <t>GD110603</t>
  </si>
  <si>
    <t>APORTE A LA CAJA COMPENSACION FLIAR</t>
  </si>
  <si>
    <t>GD12</t>
  </si>
  <si>
    <t>GASTOS GENERALES</t>
  </si>
  <si>
    <t>GD120101</t>
  </si>
  <si>
    <t>COMPRA DE EQUIPO</t>
  </si>
  <si>
    <t>GD120102</t>
  </si>
  <si>
    <t>MATERIALES Y SUMINISTROS</t>
  </si>
  <si>
    <t>GD120103</t>
  </si>
  <si>
    <t>GASTOS VARIOS E IMPREVISTOS</t>
  </si>
  <si>
    <t>GD120201</t>
  </si>
  <si>
    <t>MANTENIMIENTO</t>
  </si>
  <si>
    <t>GD120204</t>
  </si>
  <si>
    <t>GASTOS DE COMPUTADOR</t>
  </si>
  <si>
    <t>GD120205</t>
  </si>
  <si>
    <t>ADMINISTRACION EDIFICIOS E INMUEBLES</t>
  </si>
  <si>
    <t>GD120209</t>
  </si>
  <si>
    <t>ARRENDAMIENTOS</t>
  </si>
  <si>
    <t>GD120211</t>
  </si>
  <si>
    <t>VIATICOS Y GASTOS DE VIAJE</t>
  </si>
  <si>
    <t>GD120212</t>
  </si>
  <si>
    <t xml:space="preserve">IMPRESOS Y PUBLICACIONES   </t>
  </si>
  <si>
    <t>GD120215</t>
  </si>
  <si>
    <t>COMBUSTIBLE</t>
  </si>
  <si>
    <t>GD120216</t>
  </si>
  <si>
    <t>SEGUROS</t>
  </si>
  <si>
    <t>GD120217</t>
  </si>
  <si>
    <t>COMUNICACIÓN Y TRANSPORTE</t>
  </si>
  <si>
    <t>GD120218</t>
  </si>
  <si>
    <t>GASTOS DE PROTOCOLO</t>
  </si>
  <si>
    <t>GD120261</t>
  </si>
  <si>
    <t>SERVICIOS PUBLICOS</t>
  </si>
  <si>
    <t>GD120262</t>
  </si>
  <si>
    <t>DEVOLUCIONES</t>
  </si>
  <si>
    <t>GD120263</t>
  </si>
  <si>
    <t>COMISIONES</t>
  </si>
  <si>
    <t>GD120401</t>
  </si>
  <si>
    <t>IMPUESTOS TASAS Y MULTAS</t>
  </si>
  <si>
    <t>GD120404</t>
  </si>
  <si>
    <t>AVALUOS</t>
  </si>
  <si>
    <t>GD120406</t>
  </si>
  <si>
    <t>IMPUESTO A LAS TRANSACCIONES FINANCIERAS</t>
  </si>
  <si>
    <t>G13</t>
  </si>
  <si>
    <t>TRANSFERENCIAS CORRIENTES</t>
  </si>
  <si>
    <t>GD130107</t>
  </si>
  <si>
    <t>CUOTA DE FISCALIZACION</t>
  </si>
  <si>
    <t>GD130266</t>
  </si>
  <si>
    <t xml:space="preserve">PAGO PASIVOS EXIGIBLES </t>
  </si>
  <si>
    <t>GD130301</t>
  </si>
  <si>
    <t>CREDITOS JUDICIALS, LAUDOS ARBITRALS SENTENCIAS Y CONCILIACIONES</t>
  </si>
  <si>
    <t>GD130304</t>
  </si>
  <si>
    <t>PERITOS COSTAS Y GASTOS JUDICIALES</t>
  </si>
  <si>
    <t>GD3</t>
  </si>
  <si>
    <t>GASTOS DE INVERSION</t>
  </si>
  <si>
    <t>GD31</t>
  </si>
  <si>
    <t>OBJETIVO-DESARROLLO INTEGRAL DEL SER HUMANO</t>
  </si>
  <si>
    <t>GD3102</t>
  </si>
  <si>
    <t>PROGRAMA: ALIANZA POR LA INFANCIA</t>
  </si>
  <si>
    <t>GD310202</t>
  </si>
  <si>
    <t>SUBPROGRAMA: DESARROLLO</t>
  </si>
  <si>
    <r>
      <t>META PRODUCTO: ATENDER INTEGRALMENTE A 600 NIÑAS Y NIÑOS DE ESCASOS RECUROS CADA AÑO EN LOS CENTROS DE PROTECCION DE LA BENEFICENCIA DE CUNDINAMARCA</t>
    </r>
    <r>
      <rPr>
        <b/>
        <sz val="8"/>
        <rFont val="Arial"/>
        <family val="2"/>
      </rPr>
      <t xml:space="preserve"> </t>
    </r>
  </si>
  <si>
    <t>GD3102025201</t>
  </si>
  <si>
    <t>PRODUCTO NIÑEZ ATENDIDA</t>
  </si>
  <si>
    <t>GD3102025202</t>
  </si>
  <si>
    <t>PRODUCTO NIÑEZ ATENDIDA(TRANSFERENCIA DEPARTAMENTO)</t>
  </si>
  <si>
    <t>GD3103</t>
  </si>
  <si>
    <t>PROGRAMA: VIVE Y CRECE ADOLESCENCIA</t>
  </si>
  <si>
    <t>GD310302</t>
  </si>
  <si>
    <r>
      <rPr>
        <b/>
        <sz val="8"/>
        <rFont val="Arial"/>
        <family val="2"/>
      </rPr>
      <t>META PRODUCTO</t>
    </r>
    <r>
      <rPr>
        <sz val="8"/>
        <rFont val="Arial"/>
        <family val="2"/>
      </rPr>
      <t>: ATENDER INTEGRALMENTE A 500 ADOLECENTES EN LOS CENTROS DE PROTECCION DE LA BENEFICENCIA DE CUNDINAMARCA</t>
    </r>
  </si>
  <si>
    <t>GD3103029601</t>
  </si>
  <si>
    <t>PRODUCTO ADOLECENTES ATENDIDOS</t>
  </si>
  <si>
    <t>GD3103029602</t>
  </si>
  <si>
    <t>PRODUCTO ADOLECENTES ATENDIDOS(TRANSFERENCIA DEPARTAMENTO)</t>
  </si>
  <si>
    <t>GD3106</t>
  </si>
  <si>
    <t>PROGRAMA: VEJEZ DIVINO TESORO</t>
  </si>
  <si>
    <t>GD310604</t>
  </si>
  <si>
    <t xml:space="preserve">SUBPROGRAMA: PROTECCION </t>
  </si>
  <si>
    <r>
      <rPr>
        <b/>
        <sz val="8"/>
        <rFont val="Arial"/>
        <family val="2"/>
      </rPr>
      <t>META PRODUCTO:</t>
    </r>
    <r>
      <rPr>
        <sz val="8"/>
        <rFont val="Arial"/>
        <family val="2"/>
      </rPr>
      <t xml:space="preserve">  PROTEGER INTEGRALMENTE A 630 ADULTAS Y ADULTOS  MAYORES CADA AÑO EN LOS CENTROS DE LA BENEFICENCIA DE CUNDINAMARCA </t>
    </r>
  </si>
  <si>
    <t>GD31060419501</t>
  </si>
  <si>
    <t>PRODUCTO ADULTOS MAYORES ATENDIDOS</t>
  </si>
  <si>
    <t>GD31060419502</t>
  </si>
  <si>
    <t>PRODUCTO ADULTOS MAYORES ATENDIDOS(TRANSFERENCIA DEPARTAMENTO)</t>
  </si>
  <si>
    <t>GD3108</t>
  </si>
  <si>
    <t>PROGRAMA: FAMILIAS FORJADORAS DE SOCIEDAD</t>
  </si>
  <si>
    <t>GD310804</t>
  </si>
  <si>
    <t>SUBPROGRAMA: PERSONAS EN CONDICION DE DISCAPACIDAD</t>
  </si>
  <si>
    <r>
      <rPr>
        <b/>
        <sz val="8"/>
        <rFont val="Arial"/>
        <family val="2"/>
      </rPr>
      <t xml:space="preserve">META PRODUCTO: </t>
    </r>
    <r>
      <rPr>
        <sz val="8"/>
        <rFont val="Arial"/>
        <family val="2"/>
      </rPr>
      <t xml:space="preserve">PROTEGER INTEGRALMENTE A 1200 PERSONAS CON DISCAPACIDAD  CADA AÑO EN LOS  EN LOS CENTROS DE LA BENEFICENCIA DE CUNDINAMARCA </t>
    </r>
  </si>
  <si>
    <t>GD31080423401</t>
  </si>
  <si>
    <t xml:space="preserve"> PRODUCTO: PERSONAS CON DISCAPACIDAD ATENDIDAS</t>
  </si>
  <si>
    <t>GD31080423402</t>
  </si>
  <si>
    <t>GD3110</t>
  </si>
  <si>
    <t>PROGRAMA: EQUIPAMIENTO SOCIAL PARA DESARROLLO INTEGRAL</t>
  </si>
  <si>
    <t>GD311001</t>
  </si>
  <si>
    <t xml:space="preserve">SUBPROGRAMA: INFRAESTRUCTURA SOCIAL </t>
  </si>
  <si>
    <r>
      <rPr>
        <b/>
        <sz val="8"/>
        <rFont val="Arial"/>
        <family val="2"/>
      </rPr>
      <t xml:space="preserve">META PRODUCTO: </t>
    </r>
    <r>
      <rPr>
        <sz val="8"/>
        <rFont val="Arial"/>
        <family val="2"/>
      </rPr>
      <t>CONSTRUIR ADECUAR Y MANTENER EN EL CUATRENIO 50 ESPACIOS SOCIALES DE RECREACION Y DEPORTE</t>
    </r>
  </si>
  <si>
    <r>
      <rPr>
        <b/>
        <sz val="8"/>
        <rFont val="Arial"/>
        <family val="2"/>
      </rPr>
      <t xml:space="preserve">PROYECTO: </t>
    </r>
    <r>
      <rPr>
        <sz val="8"/>
        <rFont val="Arial"/>
        <family val="2"/>
      </rPr>
      <t xml:space="preserve">ESTUDIOS Y DISEÑOS PARA LA EJECUCION DE OBRAS FISICAS EN LOS CENTROS DE PROTECCION DE LA BENEFICENCIA DE CUNDINAMARCA </t>
    </r>
  </si>
  <si>
    <t>GD31100128301</t>
  </si>
  <si>
    <t xml:space="preserve">PRODUCTO :ESTUDIOS DE OBRAS PARA LAS CONSTRUCCIONES GENERALES </t>
  </si>
  <si>
    <t>PROYECTO ADECUACION FISICA DE LOS CENTROS DE PROTECCION DE LA BENEFICENCIA DE CUNDINAMARCA</t>
  </si>
  <si>
    <t>GD31100126302</t>
  </si>
  <si>
    <t>PRODUCTO OBRAS DE ADECUACION FISICA EN LOS CENTROS DE PROTECCION SOCIAL</t>
  </si>
  <si>
    <t>GD34</t>
  </si>
  <si>
    <t>OBJETIVO-FORTALECIMIENTO INSTITUCIONAL PARA GENERAR VALOR DE LO PUBLICO</t>
  </si>
  <si>
    <t>GD3402</t>
  </si>
  <si>
    <t>GD340201</t>
  </si>
  <si>
    <t>SUBPROGRAMA: FORTALECIMIENTO DE LA GESTION</t>
  </si>
  <si>
    <t>META PRODUCTO: IMPLEMENTAR UN PROGRAMA PARA LAS BUENAS PRACTICAS  EN LOS PROCESOS DE LA GESTION DOCUMENTAL Y DE ARCHIVO</t>
  </si>
  <si>
    <t>PROYECTO: ACTUALIZACION Y SOSTENIBILIDAD DE LA GESTION DOCUMENTAL DE LA BENEFICENCIA DE CUNDINAMARCA</t>
  </si>
  <si>
    <t>GD34020152501</t>
  </si>
  <si>
    <t>PRODUCTO - DOCUMENTOS ORGANIZADOS Y CUMPLIENDO NORMATIVIDAD DE GESTION DOCUMENTAL</t>
  </si>
  <si>
    <t>GD34020152502</t>
  </si>
  <si>
    <t>PRODUCTO ARCHIVO CENTRAL DOTADO</t>
  </si>
  <si>
    <t>GD3403</t>
  </si>
  <si>
    <t>SUBPROGRAMA BIENESTAR INCENTIVOS</t>
  </si>
  <si>
    <t>META PRODUCTO: PROMOVER EL BIENESTAR  Y LA PARTICIPACION  DE LOS FUNCIONARIOSEN LOS PLANES Y PROGRAMACION QUE INCENTIVEN EL MEJORAMIENTO DE LA CALIDAD DE VIDA DE LOS MISMOS.</t>
  </si>
  <si>
    <t>PROYECTO:CAPACITACION BIENESTAR E INCENTIVOS DE LOS SERVIDORES PUBLICOS DE LA BENEFICENCIA DE CUNDINAMARCA</t>
  </si>
  <si>
    <t>GD34020353101</t>
  </si>
  <si>
    <t>PRODUCTO  SERVIDORES PUBLICOS CAPACITADOS</t>
  </si>
  <si>
    <t>GD34020353102</t>
  </si>
  <si>
    <t>PRODUCTO  SERVIDORES PUBLICOS CON BIENESTAR SOCIAL</t>
  </si>
  <si>
    <t>GD34020353103</t>
  </si>
  <si>
    <t>PRODUCTO  SERVIDORES PUBLICOS BENEFICIADOS CON INCENTIVOS</t>
  </si>
  <si>
    <t>META PRODUCTO PROMOVER EL BIENESTAR Y LA SALUD OCUPACIONAL CON LA PARTICIPACION DEL 80% DELOS FUNCIONARIOS DEL SECTOR CENTRAL EN LOS PLANES Y PROGRAMAS QUE INCENTIVEN EL MEJORAMIENTO DE LA CALIDAD DE VIDA DE LOS MISMOS</t>
  </si>
  <si>
    <t>PROYECTO DESARROLLO DEL PROGRAMA DE SALUD OCUPACIONAL EN LA BENEFICENCIA DE CUNDINAMARCA</t>
  </si>
  <si>
    <t>GD34020353104</t>
  </si>
  <si>
    <t>PRODUCTO SERVIDORES PUBLICOS CON ACTIVIDADES DE PROMOCION Y PREVENCION</t>
  </si>
  <si>
    <t>GD34020353105</t>
  </si>
  <si>
    <t>PRODUCTO DOTACIONES</t>
  </si>
  <si>
    <t>GD3407</t>
  </si>
  <si>
    <t>PROGRAMA: CUNDINAMARCA GOBIERNO INTELIGENTE CON DECISIONES INFORMADAS</t>
  </si>
  <si>
    <t>GD340701</t>
  </si>
  <si>
    <t>SUBPROGRAMA: DESARROLLOS INFORMATICOS PARA LA GESTION</t>
  </si>
  <si>
    <t>META PRODUCTO:Fortalecer el 25% de la infraestructura de procedimiento y parael 30% al 65% de la infraestructuracomputacional del del niven central de departamento actualizado y soportada para el desarrollo basado en herramientas tecnologicas durante el periodo de gobierno</t>
  </si>
  <si>
    <t>PROYECTO: FORTALECIMIENTO E INNOVACION DE LA INFRAESTRUCTURATECNOLOGICA Y DE LOS SISTEMAS DE INFORMACION DE LA BENEFICENCIA DE CUNDINAMARCA</t>
  </si>
  <si>
    <t>GD34070157101</t>
  </si>
  <si>
    <t>PRODUCTO DOTACION SOTWARE Y HADWARE</t>
  </si>
  <si>
    <t>TOTAL PRESUPUESTO</t>
  </si>
  <si>
    <t>GASTOS DE INVERSIÓN - UNIDOS PODEMOS MÁS</t>
  </si>
  <si>
    <t>04</t>
  </si>
  <si>
    <t>EJE: TEJIDO SOCIAL</t>
  </si>
  <si>
    <t>PROGRAMA: TEMPRANAS SONRISAS</t>
  </si>
  <si>
    <r>
      <rPr>
        <b/>
        <sz val="11"/>
        <rFont val="Arial"/>
        <family val="2"/>
      </rPr>
      <t>META RESULTADO:</t>
    </r>
    <r>
      <rPr>
        <sz val="11"/>
        <rFont val="Arial"/>
        <family val="2"/>
      </rPr>
      <t xml:space="preserve"> Fomentar la participación en programas de irradiación deportiva, recreación y actividad física a 35000 niños y niñas s entre 5 a 11 años como parte de su desarrollo integral</t>
    </r>
  </si>
  <si>
    <t>03</t>
  </si>
  <si>
    <r>
      <rPr>
        <b/>
        <sz val="12"/>
        <rFont val="Arial"/>
        <family val="2"/>
      </rPr>
      <t>META RESULTADO:</t>
    </r>
    <r>
      <rPr>
        <sz val="12"/>
        <rFont val="Arial"/>
        <family val="2"/>
      </rPr>
      <t xml:space="preserve"> Fortalecer e Implementar en un 50% el plan departamental de erradicación de trabajo infantil durante el periodo de gobierno</t>
    </r>
  </si>
  <si>
    <t>SUBPROGRAMA: INFANCIA EN AMBIENTES PROTECTORES</t>
  </si>
  <si>
    <r>
      <rPr>
        <b/>
        <sz val="12"/>
        <rFont val="Arial"/>
        <family val="2"/>
      </rPr>
      <t xml:space="preserve">META PRODUCTO: </t>
    </r>
    <r>
      <rPr>
        <sz val="12"/>
        <rFont val="Arial"/>
        <family val="2"/>
      </rPr>
      <t>Proteger anualmente a 374 niños y niñas mediante la implementación del modelo terapéutico en los Centros de la Beneficencia, para el restablecimiento de sus derechos vulnerados</t>
    </r>
  </si>
  <si>
    <t>GD:4:2-04-03-251</t>
  </si>
  <si>
    <r>
      <rPr>
        <b/>
        <sz val="12"/>
        <rFont val="Arial"/>
        <family val="2"/>
      </rPr>
      <t>PROYECTO:</t>
    </r>
    <r>
      <rPr>
        <sz val="12"/>
        <rFont val="Arial"/>
        <family val="2"/>
      </rPr>
      <t xml:space="preserve"> Protección social de niños y niñas en centros de la Beneficencia de Cundinamarca</t>
    </r>
  </si>
  <si>
    <t>08</t>
  </si>
  <si>
    <r>
      <rPr>
        <b/>
        <sz val="12"/>
        <rFont val="Arial"/>
        <family val="2"/>
      </rPr>
      <t>PRODUCTO: Niñez protegida</t>
    </r>
  </si>
  <si>
    <t>PROGRAMA: ENVEJECIMIENTO ACTIVO Y VEJEZ</t>
  </si>
  <si>
    <t>02</t>
  </si>
  <si>
    <r>
      <rPr>
        <b/>
        <sz val="12"/>
        <rFont val="Arial"/>
        <family val="2"/>
      </rPr>
      <t xml:space="preserve">META RESULTADO: </t>
    </r>
    <r>
      <rPr>
        <sz val="12"/>
        <rFont val="Arial"/>
        <family val="2"/>
      </rPr>
      <t>Disminuir en 5.500 adultos mayores el abandono social</t>
    </r>
  </si>
  <si>
    <t>SUBPROGRAMA: ENVEJECIMIENTO Y VEJEZ CON ATENCIÓN Y PROTECCIÓN</t>
  </si>
  <si>
    <r>
      <rPr>
        <b/>
        <sz val="11"/>
        <rFont val="Arial"/>
        <family val="2"/>
      </rPr>
      <t>META PRODUCTO:</t>
    </r>
    <r>
      <rPr>
        <sz val="11"/>
        <rFont val="Arial"/>
        <family val="2"/>
      </rPr>
      <t xml:space="preserve"> Proteger anualmente 650 Adultos Mayores mediante la implementación del modelo terapéutico en los centros de la Beneficencia, para el restablecimiento de sus derechos vulnerados</t>
    </r>
  </si>
  <si>
    <t>GD:4:2-08-02-282</t>
  </si>
  <si>
    <r>
      <rPr>
        <b/>
        <sz val="11"/>
        <rFont val="Arial"/>
        <family val="2"/>
      </rPr>
      <t xml:space="preserve">PROYECTO: </t>
    </r>
    <r>
      <rPr>
        <sz val="11"/>
        <rFont val="Arial"/>
        <family val="2"/>
      </rPr>
      <t>Protección social a personas adultas mayores en centros de la Beneficencia de Cundinamarca</t>
    </r>
  </si>
  <si>
    <t>09</t>
  </si>
  <si>
    <r>
      <rPr>
        <b/>
        <sz val="11"/>
        <rFont val="Arial"/>
        <family val="2"/>
      </rPr>
      <t xml:space="preserve">PRODUCTO: </t>
    </r>
    <r>
      <rPr>
        <sz val="11"/>
        <rFont val="Arial"/>
        <family val="2"/>
      </rPr>
      <t>personas mayores atendidas</t>
    </r>
  </si>
  <si>
    <t>GD4-2-08-02-282</t>
  </si>
  <si>
    <r>
      <rPr>
        <b/>
        <sz val="11"/>
        <rFont val="Arial"/>
        <family val="2"/>
      </rPr>
      <t xml:space="preserve">PRODUCTO: </t>
    </r>
    <r>
      <rPr>
        <sz val="11"/>
        <rFont val="Arial"/>
        <family val="2"/>
      </rPr>
      <t>personas mayores atendidas Recursos del Dpto</t>
    </r>
  </si>
  <si>
    <t>PROGRAMA: LOS MÁS CAPACES</t>
  </si>
  <si>
    <r>
      <rPr>
        <b/>
        <sz val="12"/>
        <rFont val="Arial"/>
        <family val="2"/>
      </rPr>
      <t>META RESULTADO:</t>
    </r>
    <r>
      <rPr>
        <sz val="12"/>
        <rFont val="Arial"/>
        <family val="2"/>
      </rPr>
      <t xml:space="preserve"> Incluir al 100% de las personas con discapacidad en espacios recreativos, deportivos y de actividad física que faciliten la inclusión en los eventos y escenarios del departamento durante el cuatrienio</t>
    </r>
  </si>
  <si>
    <t>01</t>
  </si>
  <si>
    <r>
      <rPr>
        <b/>
        <sz val="12"/>
        <rFont val="Arial"/>
        <family val="2"/>
      </rPr>
      <t xml:space="preserve">META RESULTADO: </t>
    </r>
    <r>
      <rPr>
        <sz val="12"/>
        <rFont val="Arial"/>
        <family val="2"/>
      </rPr>
      <t>Potencializar habilidades y destrezas a 6.000 personas con discapacidad como usuarios de programas de salud, nutrición atención y protección</t>
    </r>
  </si>
  <si>
    <t>SUBPROGRAMA: DISPAPACIDAD, ATENCIÓN Y PROTECCIÓN</t>
  </si>
  <si>
    <r>
      <rPr>
        <b/>
        <sz val="12"/>
        <rFont val="Arial"/>
        <family val="2"/>
      </rPr>
      <t>META PRODUCTO:</t>
    </r>
    <r>
      <rPr>
        <sz val="12"/>
        <rFont val="Arial"/>
        <family val="2"/>
      </rPr>
      <t xml:space="preserve"> Proteger anualmente 960 personas en condición de discapacidad cognitiva y mental mediante la implementación del modelo terapéutico en los centros de la Beneficencia, para el restablecimiento de sus derechos vulnerados</t>
    </r>
  </si>
  <si>
    <t>GD:4:2-09-01-291</t>
  </si>
  <si>
    <r>
      <rPr>
        <b/>
        <sz val="12"/>
        <rFont val="Arial"/>
        <family val="2"/>
      </rPr>
      <t xml:space="preserve">PROYECTO: </t>
    </r>
    <r>
      <rPr>
        <sz val="12"/>
        <rFont val="Arial"/>
        <family val="2"/>
      </rPr>
      <t>protección social a personas con discapacidad mental en centros de la beneficencia de cundinamarca</t>
    </r>
  </si>
  <si>
    <r>
      <rPr>
        <b/>
        <sz val="12"/>
        <rFont val="Arial"/>
        <family val="2"/>
      </rPr>
      <t>PRODUCTO: personas atendidas</t>
    </r>
  </si>
  <si>
    <t>TOTAL PRESUPUESTO UNIDOS PODEMOS MAS</t>
  </si>
  <si>
    <t xml:space="preserve">TOTAL PRESUPUESTO </t>
  </si>
  <si>
    <t>ARCHIVO EJECUCION PPTAL2016</t>
  </si>
  <si>
    <t>JHON ALEJANDRO CONTRERAS TORRES</t>
  </si>
  <si>
    <t>LUIS HERNAN VARGAS FORERO</t>
  </si>
  <si>
    <t>DORA CONTRERAS OTALORA</t>
  </si>
  <si>
    <t xml:space="preserve">Gerente  General </t>
  </si>
  <si>
    <t>Subgerente Financiero</t>
  </si>
  <si>
    <t>Profesional Universitario</t>
  </si>
  <si>
    <t>INFORME DE INGRESOS</t>
  </si>
  <si>
    <t>01  AL 31 DE DICIEMBRE  DE 2016</t>
  </si>
  <si>
    <t xml:space="preserve">DESCRIPCION </t>
  </si>
  <si>
    <t>PRESUPUESTO INICIAL APROBADO 2016</t>
  </si>
  <si>
    <t xml:space="preserve">ADICIONES </t>
  </si>
  <si>
    <t xml:space="preserve">REDUCCIONES </t>
  </si>
  <si>
    <t>PRESUPUESTO CON MODIFICACIONES</t>
  </si>
  <si>
    <t>ACUMULADO A NOVIEMBRE</t>
  </si>
  <si>
    <t xml:space="preserve">RECAUDADO  EN DICIEMBRE  </t>
  </si>
  <si>
    <t>ACUMULADO A DICIEMBRE</t>
  </si>
  <si>
    <t>SUPERAVIT VIGENCIA ANTERIORES</t>
  </si>
  <si>
    <t>SALDO POR RECAUDAR</t>
  </si>
  <si>
    <t>Porcentaje de Ejecución %</t>
  </si>
  <si>
    <t>RECURSOS PROPIOS</t>
  </si>
  <si>
    <t>RECURSOS SIN SITUACION DE FONDOS*</t>
  </si>
  <si>
    <t>ID:</t>
  </si>
  <si>
    <t>RENTAS PROPIAS</t>
  </si>
  <si>
    <t>ID: 1</t>
  </si>
  <si>
    <t>INGRESOS CORRIENTES</t>
  </si>
  <si>
    <t>ID: 1:2</t>
  </si>
  <si>
    <t>INGRESOS NO TRIBUTARIOS</t>
  </si>
  <si>
    <t>ID: 1:2-A</t>
  </si>
  <si>
    <t>Venta de Bienes y Servicios</t>
  </si>
  <si>
    <t>ID: 1:2-A2</t>
  </si>
  <si>
    <t>Rentas Contractuales</t>
  </si>
  <si>
    <t>ID: 1:2-A2-01</t>
  </si>
  <si>
    <t>1-0300</t>
  </si>
  <si>
    <t>Venta de Servicios de Protección Social</t>
  </si>
  <si>
    <t>ID: 1:2-A2-02</t>
  </si>
  <si>
    <t>Pensiones Asistenciales</t>
  </si>
  <si>
    <t>ID: 1:2-A2-03</t>
  </si>
  <si>
    <t>Arrendamientos</t>
  </si>
  <si>
    <t>ID:1:2-B</t>
  </si>
  <si>
    <t>CONTRATOS Y CONVENIOS</t>
  </si>
  <si>
    <t>ID:1:2-B3</t>
  </si>
  <si>
    <t>Contratos  y Convenios Municipales</t>
  </si>
  <si>
    <t>ID:1:2-B3-01</t>
  </si>
  <si>
    <t>Contratos y Convenios Municipios Dpato. Cund.</t>
  </si>
  <si>
    <t>ID: 1:2-03</t>
  </si>
  <si>
    <t>Otros Ingresos</t>
  </si>
  <si>
    <t>ID: 1:2-03-01</t>
  </si>
  <si>
    <t>Otros  Ingresos</t>
  </si>
  <si>
    <t>ID: 2</t>
  </si>
  <si>
    <t>RECURSOS DE CAPITAL</t>
  </si>
  <si>
    <t>ID: 2:1</t>
  </si>
  <si>
    <t>Rendimientos Financieros</t>
  </si>
  <si>
    <t>ID: 2:1-01</t>
  </si>
  <si>
    <t>Intereses</t>
  </si>
  <si>
    <t>ID: 2:1-01-01</t>
  </si>
  <si>
    <t>ID: 2:2</t>
  </si>
  <si>
    <t>Recursos del Balance</t>
  </si>
  <si>
    <t>ID: 2:2-02</t>
  </si>
  <si>
    <t>Excedentes Financieros</t>
  </si>
  <si>
    <t>ID: 2:2-02-01</t>
  </si>
  <si>
    <t>Mn Hacienda reintegro sentencia SU-484 DE 2008</t>
  </si>
  <si>
    <t>ID: 2:2-02-02</t>
  </si>
  <si>
    <t>Saldos Bancarios 2015</t>
  </si>
  <si>
    <t>ID: 2:6</t>
  </si>
  <si>
    <t>DONACIONES</t>
  </si>
  <si>
    <t>ID: 2:6-01</t>
  </si>
  <si>
    <t>Donaciones</t>
  </si>
  <si>
    <t>ID: 2:6-01-01</t>
  </si>
  <si>
    <t>ID: 2:7</t>
  </si>
  <si>
    <t>OTROS RECURSOS DE CAPITAL</t>
  </si>
  <si>
    <t>ID: 2:7-01</t>
  </si>
  <si>
    <t>Otros</t>
  </si>
  <si>
    <t>ID: 2:7-01-01</t>
  </si>
  <si>
    <t>Participación Proyectos Fiduciarios</t>
  </si>
  <si>
    <t>ID: 2:7-01-02</t>
  </si>
  <si>
    <t>Venta de Activos</t>
  </si>
  <si>
    <t>ID: 2:7-01-03</t>
  </si>
  <si>
    <t>Recuperación de Cartera</t>
  </si>
  <si>
    <t>TOTAL RECURSOS PROPIOS</t>
  </si>
  <si>
    <t>IR:4</t>
  </si>
  <si>
    <t>APORTES DEL DEPARTAMENTO</t>
  </si>
  <si>
    <t>IR:4:01</t>
  </si>
  <si>
    <t>Transferencias del Departamento de Cundinamarca</t>
  </si>
  <si>
    <t>IR:4:01-01</t>
  </si>
  <si>
    <t>1-0100</t>
  </si>
  <si>
    <t xml:space="preserve">Transferencias </t>
  </si>
  <si>
    <t>TOTAL APORTES DEL DEPARTAMENTO</t>
  </si>
  <si>
    <t xml:space="preserve">TOTAL  INGRESOS </t>
  </si>
  <si>
    <t>JOSE EUCLIDES ROLDAN MONDRAGON</t>
  </si>
  <si>
    <t>GERENTE GENERAL ( E )</t>
  </si>
  <si>
    <t>SUBGERENTE FINANCIERO</t>
  </si>
  <si>
    <t>TESORERO GENERAL</t>
  </si>
  <si>
    <t>ORIGINAL FIRMADO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</si>
</sst>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#,##0_ ;[Red]\-#,##0\ "/>
    <numFmt numFmtId="167" formatCode="0.000%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5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1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6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9" fontId="3" fillId="16" borderId="21" xfId="0" applyNumberFormat="1" applyFont="1" applyFill="1" applyBorder="1" applyAlignment="1">
      <alignment horizontal="left"/>
    </xf>
    <xf numFmtId="0" fontId="3" fillId="16" borderId="21" xfId="0" applyFont="1" applyFill="1" applyBorder="1" applyAlignment="1">
      <alignment horizontal="left"/>
    </xf>
    <xf numFmtId="3" fontId="3" fillId="16" borderId="21" xfId="0" applyNumberFormat="1" applyFont="1" applyFill="1" applyBorder="1" applyAlignment="1">
      <alignment horizontal="right"/>
    </xf>
    <xf numFmtId="10" fontId="3" fillId="33" borderId="22" xfId="0" applyNumberFormat="1" applyFont="1" applyFill="1" applyBorder="1" applyAlignment="1">
      <alignment horizontal="center"/>
    </xf>
    <xf numFmtId="0" fontId="3" fillId="16" borderId="10" xfId="0" applyFont="1" applyFill="1" applyBorder="1" applyAlignment="1">
      <alignment horizontal="left"/>
    </xf>
    <xf numFmtId="3" fontId="3" fillId="16" borderId="10" xfId="0" applyNumberFormat="1" applyFont="1" applyFill="1" applyBorder="1" applyAlignment="1">
      <alignment horizontal="right"/>
    </xf>
    <xf numFmtId="3" fontId="3" fillId="16" borderId="11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10" fontId="3" fillId="0" borderId="2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49" fontId="4" fillId="33" borderId="23" xfId="0" applyNumberFormat="1" applyFont="1" applyFill="1" applyBorder="1" applyAlignment="1">
      <alignment horizontal="left"/>
    </xf>
    <xf numFmtId="0" fontId="5" fillId="0" borderId="23" xfId="0" applyFont="1" applyBorder="1" applyAlignment="1">
      <alignment wrapText="1"/>
    </xf>
    <xf numFmtId="3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10" borderId="21" xfId="0" applyNumberFormat="1" applyFont="1" applyFill="1" applyBorder="1" applyAlignment="1">
      <alignment horizontal="right"/>
    </xf>
    <xf numFmtId="49" fontId="4" fillId="0" borderId="23" xfId="0" applyNumberFormat="1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3" xfId="0" applyFont="1" applyBorder="1" applyAlignment="1">
      <alignment horizontal="left" wrapText="1"/>
    </xf>
    <xf numFmtId="0" fontId="5" fillId="0" borderId="23" xfId="0" applyFont="1" applyBorder="1" applyAlignment="1">
      <alignment vertical="top" wrapText="1"/>
    </xf>
    <xf numFmtId="0" fontId="5" fillId="0" borderId="23" xfId="0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right"/>
    </xf>
    <xf numFmtId="49" fontId="3" fillId="0" borderId="23" xfId="0" applyNumberFormat="1" applyFont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5" fillId="0" borderId="25" xfId="0" applyFont="1" applyBorder="1" applyAlignment="1">
      <alignment wrapText="1"/>
    </xf>
    <xf numFmtId="0" fontId="3" fillId="0" borderId="21" xfId="0" applyFont="1" applyBorder="1" applyAlignment="1">
      <alignment horizontal="left"/>
    </xf>
    <xf numFmtId="3" fontId="3" fillId="0" borderId="21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10" borderId="0" xfId="0" applyNumberFormat="1" applyFont="1" applyFill="1" applyBorder="1" applyAlignment="1">
      <alignment horizontal="right"/>
    </xf>
    <xf numFmtId="49" fontId="6" fillId="16" borderId="23" xfId="0" applyNumberFormat="1" applyFont="1" applyFill="1" applyBorder="1" applyAlignment="1">
      <alignment horizontal="left"/>
    </xf>
    <xf numFmtId="0" fontId="3" fillId="16" borderId="23" xfId="0" applyFont="1" applyFill="1" applyBorder="1" applyAlignment="1">
      <alignment/>
    </xf>
    <xf numFmtId="3" fontId="7" fillId="34" borderId="2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9" fontId="4" fillId="34" borderId="23" xfId="0" applyNumberFormat="1" applyFont="1" applyFill="1" applyBorder="1" applyAlignment="1">
      <alignment horizontal="left"/>
    </xf>
    <xf numFmtId="0" fontId="4" fillId="34" borderId="23" xfId="0" applyFont="1" applyFill="1" applyBorder="1" applyAlignment="1">
      <alignment horizontal="justify" vertical="justify" wrapText="1"/>
    </xf>
    <xf numFmtId="49" fontId="4" fillId="35" borderId="23" xfId="0" applyNumberFormat="1" applyFont="1" applyFill="1" applyBorder="1" applyAlignment="1">
      <alignment horizontal="left"/>
    </xf>
    <xf numFmtId="0" fontId="4" fillId="35" borderId="23" xfId="0" applyFont="1" applyFill="1" applyBorder="1" applyAlignment="1">
      <alignment horizontal="left" vertical="top" wrapText="1"/>
    </xf>
    <xf numFmtId="3" fontId="3" fillId="35" borderId="23" xfId="0" applyNumberFormat="1" applyFont="1" applyFill="1" applyBorder="1" applyAlignment="1">
      <alignment/>
    </xf>
    <xf numFmtId="49" fontId="4" fillId="2" borderId="23" xfId="0" applyNumberFormat="1" applyFont="1" applyFill="1" applyBorder="1" applyAlignment="1">
      <alignment horizontal="left"/>
    </xf>
    <xf numFmtId="0" fontId="4" fillId="2" borderId="23" xfId="0" applyFont="1" applyFill="1" applyBorder="1" applyAlignment="1">
      <alignment vertical="top" wrapText="1"/>
    </xf>
    <xf numFmtId="3" fontId="3" fillId="2" borderId="23" xfId="0" applyNumberFormat="1" applyFont="1" applyFill="1" applyBorder="1" applyAlignment="1">
      <alignment/>
    </xf>
    <xf numFmtId="49" fontId="5" fillId="0" borderId="23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23" xfId="0" applyFont="1" applyBorder="1" applyAlignment="1">
      <alignment horizontal="left" vertical="center" wrapText="1"/>
    </xf>
    <xf numFmtId="3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0" fillId="2" borderId="23" xfId="0" applyNumberFormat="1" applyFont="1" applyFill="1" applyBorder="1" applyAlignment="1">
      <alignment/>
    </xf>
    <xf numFmtId="3" fontId="0" fillId="0" borderId="23" xfId="0" applyNumberFormat="1" applyBorder="1" applyAlignment="1">
      <alignment horizontal="right"/>
    </xf>
    <xf numFmtId="49" fontId="4" fillId="2" borderId="25" xfId="0" applyNumberFormat="1" applyFont="1" applyFill="1" applyBorder="1" applyAlignment="1">
      <alignment horizontal="left"/>
    </xf>
    <xf numFmtId="0" fontId="4" fillId="2" borderId="25" xfId="0" applyFont="1" applyFill="1" applyBorder="1" applyAlignment="1">
      <alignment vertical="top" wrapText="1"/>
    </xf>
    <xf numFmtId="3" fontId="3" fillId="2" borderId="25" xfId="0" applyNumberFormat="1" applyFont="1" applyFill="1" applyBorder="1" applyAlignment="1">
      <alignment/>
    </xf>
    <xf numFmtId="0" fontId="5" fillId="33" borderId="23" xfId="0" applyFont="1" applyFill="1" applyBorder="1" applyAlignment="1">
      <alignment horizontal="justify" vertical="center"/>
    </xf>
    <xf numFmtId="3" fontId="0" fillId="0" borderId="23" xfId="0" applyNumberFormat="1" applyFont="1" applyFill="1" applyBorder="1" applyAlignment="1">
      <alignment horizontal="right"/>
    </xf>
    <xf numFmtId="3" fontId="0" fillId="35" borderId="23" xfId="0" applyNumberFormat="1" applyFont="1" applyFill="1" applyBorder="1" applyAlignment="1">
      <alignment/>
    </xf>
    <xf numFmtId="3" fontId="3" fillId="34" borderId="23" xfId="0" applyNumberFormat="1" applyFont="1" applyFill="1" applyBorder="1" applyAlignment="1">
      <alignment/>
    </xf>
    <xf numFmtId="49" fontId="5" fillId="33" borderId="23" xfId="0" applyNumberFormat="1" applyFont="1" applyFill="1" applyBorder="1" applyAlignment="1">
      <alignment horizontal="left"/>
    </xf>
    <xf numFmtId="3" fontId="0" fillId="33" borderId="23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0" fontId="57" fillId="2" borderId="23" xfId="0" applyFont="1" applyFill="1" applyBorder="1" applyAlignment="1">
      <alignment vertical="top" wrapText="1"/>
    </xf>
    <xf numFmtId="0" fontId="5" fillId="0" borderId="23" xfId="0" applyFont="1" applyBorder="1" applyAlignment="1">
      <alignment horizontal="left" vertical="justify" wrapText="1"/>
    </xf>
    <xf numFmtId="3" fontId="0" fillId="0" borderId="23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justify" wrapText="1"/>
    </xf>
    <xf numFmtId="49" fontId="58" fillId="0" borderId="0" xfId="0" applyNumberFormat="1" applyFont="1" applyFill="1" applyBorder="1" applyAlignment="1">
      <alignment horizontal="justify" vertical="center" wrapText="1"/>
    </xf>
    <xf numFmtId="3" fontId="3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justify" vertical="center" wrapText="1"/>
    </xf>
    <xf numFmtId="10" fontId="0" fillId="0" borderId="22" xfId="0" applyNumberFormat="1" applyFont="1" applyBorder="1" applyAlignment="1">
      <alignment horizontal="center" vertical="center" wrapText="1"/>
    </xf>
    <xf numFmtId="3" fontId="3" fillId="35" borderId="23" xfId="0" applyNumberFormat="1" applyFont="1" applyFill="1" applyBorder="1" applyAlignment="1">
      <alignment horizontal="right"/>
    </xf>
    <xf numFmtId="10" fontId="0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left" vertical="center" wrapText="1"/>
    </xf>
    <xf numFmtId="3" fontId="0" fillId="0" borderId="23" xfId="0" applyNumberFormat="1" applyFont="1" applyBorder="1" applyAlignment="1">
      <alignment vertical="center" wrapText="1"/>
    </xf>
    <xf numFmtId="4" fontId="0" fillId="0" borderId="23" xfId="0" applyNumberFormat="1" applyFont="1" applyBorder="1" applyAlignment="1">
      <alignment vertical="center" wrapText="1"/>
    </xf>
    <xf numFmtId="3" fontId="0" fillId="0" borderId="23" xfId="0" applyNumberFormat="1" applyFont="1" applyBorder="1" applyAlignment="1">
      <alignment vertical="center" wrapText="1"/>
    </xf>
    <xf numFmtId="3" fontId="0" fillId="0" borderId="23" xfId="0" applyNumberFormat="1" applyFont="1" applyBorder="1" applyAlignment="1">
      <alignment horizontal="right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49" fontId="5" fillId="0" borderId="26" xfId="0" applyNumberFormat="1" applyFont="1" applyBorder="1" applyAlignment="1">
      <alignment horizontal="left" vertical="center" wrapText="1"/>
    </xf>
    <xf numFmtId="49" fontId="8" fillId="0" borderId="26" xfId="0" applyNumberFormat="1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 wrapText="1"/>
    </xf>
    <xf numFmtId="3" fontId="3" fillId="0" borderId="23" xfId="0" applyNumberFormat="1" applyFont="1" applyBorder="1" applyAlignment="1">
      <alignment vertical="center" wrapText="1"/>
    </xf>
    <xf numFmtId="10" fontId="3" fillId="0" borderId="22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23" xfId="0" applyFont="1" applyBorder="1" applyAlignment="1">
      <alignment horizontal="justify" vertical="center" wrapText="1"/>
    </xf>
    <xf numFmtId="10" fontId="3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4" fontId="0" fillId="0" borderId="23" xfId="0" applyNumberFormat="1" applyFont="1" applyBorder="1" applyAlignment="1">
      <alignment/>
    </xf>
    <xf numFmtId="0" fontId="11" fillId="0" borderId="23" xfId="0" applyFont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9" fillId="0" borderId="23" xfId="0" applyFont="1" applyBorder="1" applyAlignment="1">
      <alignment horizontal="justify" vertical="center" wrapText="1"/>
    </xf>
    <xf numFmtId="0" fontId="0" fillId="0" borderId="27" xfId="0" applyFont="1" applyBorder="1" applyAlignment="1">
      <alignment/>
    </xf>
    <xf numFmtId="4" fontId="0" fillId="0" borderId="26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6" xfId="0" applyFont="1" applyBorder="1" applyAlignment="1">
      <alignment/>
    </xf>
    <xf numFmtId="49" fontId="0" fillId="0" borderId="28" xfId="0" applyNumberFormat="1" applyFont="1" applyBorder="1" applyAlignment="1">
      <alignment/>
    </xf>
    <xf numFmtId="0" fontId="3" fillId="0" borderId="28" xfId="0" applyFont="1" applyBorder="1" applyAlignment="1">
      <alignment wrapText="1"/>
    </xf>
    <xf numFmtId="0" fontId="3" fillId="0" borderId="28" xfId="0" applyFont="1" applyBorder="1" applyAlignment="1">
      <alignment/>
    </xf>
    <xf numFmtId="49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/>
    </xf>
    <xf numFmtId="4" fontId="0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49" fontId="0" fillId="0" borderId="30" xfId="0" applyNumberFormat="1" applyFont="1" applyBorder="1" applyAlignment="1">
      <alignment/>
    </xf>
    <xf numFmtId="0" fontId="3" fillId="0" borderId="30" xfId="0" applyFont="1" applyBorder="1" applyAlignment="1">
      <alignment wrapText="1"/>
    </xf>
    <xf numFmtId="3" fontId="3" fillId="0" borderId="30" xfId="0" applyNumberFormat="1" applyFont="1" applyBorder="1" applyAlignment="1">
      <alignment/>
    </xf>
    <xf numFmtId="10" fontId="3" fillId="33" borderId="3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9" fillId="0" borderId="0" xfId="55" applyFont="1" applyBorder="1" applyAlignment="1">
      <alignment horizontal="left"/>
      <protection/>
    </xf>
    <xf numFmtId="0" fontId="9" fillId="0" borderId="0" xfId="55" applyFont="1" applyAlignment="1">
      <alignment horizontal="center"/>
      <protection/>
    </xf>
    <xf numFmtId="0" fontId="9" fillId="0" borderId="0" xfId="54" applyFont="1">
      <alignment/>
      <protection/>
    </xf>
    <xf numFmtId="0" fontId="9" fillId="0" borderId="0" xfId="55" applyFont="1" applyBorder="1" applyAlignment="1">
      <alignment horizontal="center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0" fillId="0" borderId="0" xfId="54" applyFill="1" applyBorder="1" applyAlignment="1">
      <alignment horizontal="center" vertical="center" wrapText="1"/>
      <protection/>
    </xf>
    <xf numFmtId="0" fontId="5" fillId="0" borderId="31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0" fillId="0" borderId="32" xfId="54" applyFont="1" applyBorder="1" applyAlignment="1">
      <alignment horizontal="center" wrapText="1"/>
      <protection/>
    </xf>
    <xf numFmtId="0" fontId="0" fillId="0" borderId="33" xfId="54" applyFont="1" applyBorder="1" applyAlignment="1">
      <alignment horizontal="center" wrapText="1"/>
      <protection/>
    </xf>
    <xf numFmtId="0" fontId="15" fillId="0" borderId="0" xfId="55" applyFont="1" applyBorder="1">
      <alignment/>
      <protection/>
    </xf>
    <xf numFmtId="41" fontId="16" fillId="0" borderId="34" xfId="48" applyFont="1" applyBorder="1" applyAlignment="1">
      <alignment horizontal="left" vertical="center"/>
    </xf>
    <xf numFmtId="41" fontId="17" fillId="0" borderId="35" xfId="48" applyFont="1" applyBorder="1" applyAlignment="1">
      <alignment horizontal="center" vertical="center"/>
    </xf>
    <xf numFmtId="0" fontId="7" fillId="0" borderId="36" xfId="48" applyNumberFormat="1" applyFont="1" applyFill="1" applyBorder="1" applyAlignment="1">
      <alignment vertical="center"/>
    </xf>
    <xf numFmtId="3" fontId="7" fillId="0" borderId="37" xfId="48" applyNumberFormat="1" applyFont="1" applyFill="1" applyBorder="1" applyAlignment="1">
      <alignment horizontal="right" vertical="center"/>
    </xf>
    <xf numFmtId="3" fontId="7" fillId="0" borderId="35" xfId="48" applyNumberFormat="1" applyFont="1" applyFill="1" applyBorder="1" applyAlignment="1">
      <alignment horizontal="right" vertical="center"/>
    </xf>
    <xf numFmtId="3" fontId="4" fillId="0" borderId="35" xfId="48" applyNumberFormat="1" applyFont="1" applyFill="1" applyBorder="1" applyAlignment="1">
      <alignment horizontal="right" vertical="center"/>
    </xf>
    <xf numFmtId="10" fontId="7" fillId="0" borderId="36" xfId="49" applyNumberFormat="1" applyFont="1" applyFill="1" applyBorder="1" applyAlignment="1">
      <alignment horizontal="center"/>
    </xf>
    <xf numFmtId="0" fontId="6" fillId="0" borderId="0" xfId="55" applyFont="1" applyBorder="1">
      <alignment/>
      <protection/>
    </xf>
    <xf numFmtId="41" fontId="16" fillId="0" borderId="38" xfId="48" applyFont="1" applyBorder="1" applyAlignment="1">
      <alignment horizontal="left" vertical="center"/>
    </xf>
    <xf numFmtId="41" fontId="17" fillId="0" borderId="23" xfId="48" applyFont="1" applyBorder="1" applyAlignment="1">
      <alignment horizontal="center" vertical="center"/>
    </xf>
    <xf numFmtId="0" fontId="7" fillId="0" borderId="27" xfId="48" applyNumberFormat="1" applyFont="1" applyFill="1" applyBorder="1" applyAlignment="1">
      <alignment vertical="center"/>
    </xf>
    <xf numFmtId="3" fontId="7" fillId="0" borderId="26" xfId="48" applyNumberFormat="1" applyFont="1" applyFill="1" applyBorder="1" applyAlignment="1">
      <alignment horizontal="right" vertical="center"/>
    </xf>
    <xf numFmtId="3" fontId="7" fillId="0" borderId="23" xfId="48" applyNumberFormat="1" applyFont="1" applyFill="1" applyBorder="1" applyAlignment="1">
      <alignment horizontal="right" vertical="center"/>
    </xf>
    <xf numFmtId="10" fontId="7" fillId="0" borderId="27" xfId="49" applyNumberFormat="1" applyFont="1" applyFill="1" applyBorder="1" applyAlignment="1">
      <alignment horizontal="center"/>
    </xf>
    <xf numFmtId="3" fontId="9" fillId="0" borderId="0" xfId="54" applyNumberFormat="1" applyFont="1">
      <alignment/>
      <protection/>
    </xf>
    <xf numFmtId="0" fontId="6" fillId="0" borderId="0" xfId="55" applyFont="1" applyFill="1" applyBorder="1" applyAlignment="1">
      <alignment horizontal="center"/>
      <protection/>
    </xf>
    <xf numFmtId="41" fontId="17" fillId="0" borderId="38" xfId="48" applyFont="1" applyFill="1" applyBorder="1" applyAlignment="1">
      <alignment horizontal="left" vertical="center"/>
    </xf>
    <xf numFmtId="165" fontId="17" fillId="0" borderId="23" xfId="48" applyNumberFormat="1" applyFont="1" applyFill="1" applyBorder="1" applyAlignment="1">
      <alignment horizontal="center" vertical="center"/>
    </xf>
    <xf numFmtId="41" fontId="17" fillId="0" borderId="23" xfId="48" applyFont="1" applyFill="1" applyBorder="1" applyAlignment="1">
      <alignment horizontal="center" vertical="center"/>
    </xf>
    <xf numFmtId="0" fontId="12" fillId="0" borderId="27" xfId="48" applyNumberFormat="1" applyFont="1" applyFill="1" applyBorder="1" applyAlignment="1">
      <alignment vertical="center"/>
    </xf>
    <xf numFmtId="3" fontId="12" fillId="0" borderId="26" xfId="48" applyNumberFormat="1" applyFont="1" applyFill="1" applyBorder="1" applyAlignment="1">
      <alignment horizontal="right" vertical="center"/>
    </xf>
    <xf numFmtId="3" fontId="7" fillId="0" borderId="23" xfId="55" applyNumberFormat="1" applyFont="1" applyFill="1" applyBorder="1">
      <alignment/>
      <protection/>
    </xf>
    <xf numFmtId="3" fontId="12" fillId="0" borderId="23" xfId="55" applyNumberFormat="1" applyFont="1" applyFill="1" applyBorder="1">
      <alignment/>
      <protection/>
    </xf>
    <xf numFmtId="10" fontId="12" fillId="0" borderId="27" xfId="49" applyNumberFormat="1" applyFont="1" applyFill="1" applyBorder="1" applyAlignment="1">
      <alignment horizontal="center"/>
    </xf>
    <xf numFmtId="164" fontId="9" fillId="0" borderId="0" xfId="46" applyNumberFormat="1" applyFont="1" applyFill="1" applyAlignment="1">
      <alignment/>
    </xf>
    <xf numFmtId="0" fontId="9" fillId="0" borderId="0" xfId="54" applyFont="1" applyFill="1">
      <alignment/>
      <protection/>
    </xf>
    <xf numFmtId="3" fontId="12" fillId="0" borderId="23" xfId="54" applyNumberFormat="1" applyFont="1" applyFill="1" applyBorder="1">
      <alignment/>
      <protection/>
    </xf>
    <xf numFmtId="41" fontId="16" fillId="0" borderId="38" xfId="48" applyFont="1" applyFill="1" applyBorder="1" applyAlignment="1">
      <alignment horizontal="left" vertical="center"/>
    </xf>
    <xf numFmtId="3" fontId="7" fillId="0" borderId="23" xfId="54" applyNumberFormat="1" applyFont="1" applyFill="1" applyBorder="1">
      <alignment/>
      <protection/>
    </xf>
    <xf numFmtId="0" fontId="12" fillId="0" borderId="27" xfId="48" applyNumberFormat="1" applyFont="1" applyFill="1" applyBorder="1" applyAlignment="1">
      <alignment vertical="center" wrapText="1"/>
    </xf>
    <xf numFmtId="0" fontId="6" fillId="0" borderId="0" xfId="55" applyFont="1" applyBorder="1" applyAlignment="1">
      <alignment horizontal="center"/>
      <protection/>
    </xf>
    <xf numFmtId="41" fontId="17" fillId="0" borderId="38" xfId="48" applyFont="1" applyBorder="1" applyAlignment="1">
      <alignment horizontal="left" vertical="center"/>
    </xf>
    <xf numFmtId="3" fontId="12" fillId="0" borderId="23" xfId="55" applyNumberFormat="1" applyFont="1" applyBorder="1">
      <alignment/>
      <protection/>
    </xf>
    <xf numFmtId="3" fontId="12" fillId="0" borderId="23" xfId="54" applyNumberFormat="1" applyFont="1" applyBorder="1">
      <alignment/>
      <protection/>
    </xf>
    <xf numFmtId="3" fontId="4" fillId="0" borderId="23" xfId="48" applyNumberFormat="1" applyFont="1" applyFill="1" applyBorder="1" applyAlignment="1">
      <alignment horizontal="right" vertical="center"/>
    </xf>
    <xf numFmtId="3" fontId="7" fillId="0" borderId="26" xfId="55" applyNumberFormat="1" applyFont="1" applyBorder="1">
      <alignment/>
      <protection/>
    </xf>
    <xf numFmtId="3" fontId="7" fillId="0" borderId="23" xfId="55" applyNumberFormat="1" applyFont="1" applyBorder="1">
      <alignment/>
      <protection/>
    </xf>
    <xf numFmtId="3" fontId="4" fillId="0" borderId="23" xfId="55" applyNumberFormat="1" applyFont="1" applyFill="1" applyBorder="1">
      <alignment/>
      <protection/>
    </xf>
    <xf numFmtId="3" fontId="5" fillId="0" borderId="23" xfId="55" applyNumberFormat="1" applyFont="1" applyFill="1" applyBorder="1">
      <alignment/>
      <protection/>
    </xf>
    <xf numFmtId="3" fontId="4" fillId="0" borderId="23" xfId="55" applyNumberFormat="1" applyFont="1" applyBorder="1">
      <alignment/>
      <protection/>
    </xf>
    <xf numFmtId="3" fontId="5" fillId="0" borderId="23" xfId="55" applyNumberFormat="1" applyFont="1" applyBorder="1">
      <alignment/>
      <protection/>
    </xf>
    <xf numFmtId="0" fontId="6" fillId="0" borderId="0" xfId="55" applyFont="1" applyBorder="1" applyAlignment="1">
      <alignment horizontal="center" vertical="center"/>
      <protection/>
    </xf>
    <xf numFmtId="41" fontId="16" fillId="0" borderId="23" xfId="48" applyFont="1" applyBorder="1" applyAlignment="1">
      <alignment horizontal="left" vertical="center"/>
    </xf>
    <xf numFmtId="0" fontId="7" fillId="0" borderId="27" xfId="48" applyNumberFormat="1" applyFont="1" applyFill="1" applyBorder="1" applyAlignment="1">
      <alignment vertical="center" wrapText="1"/>
    </xf>
    <xf numFmtId="0" fontId="16" fillId="0" borderId="38" xfId="48" applyNumberFormat="1" applyFont="1" applyBorder="1" applyAlignment="1">
      <alignment horizontal="left" vertical="center"/>
    </xf>
    <xf numFmtId="0" fontId="16" fillId="0" borderId="27" xfId="48" applyNumberFormat="1" applyFont="1" applyBorder="1" applyAlignment="1">
      <alignment horizontal="left" vertical="center"/>
    </xf>
    <xf numFmtId="3" fontId="7" fillId="0" borderId="39" xfId="48" applyNumberFormat="1" applyFont="1" applyFill="1" applyBorder="1" applyAlignment="1">
      <alignment horizontal="right" vertical="center"/>
    </xf>
    <xf numFmtId="3" fontId="7" fillId="0" borderId="40" xfId="48" applyNumberFormat="1" applyFont="1" applyFill="1" applyBorder="1" applyAlignment="1">
      <alignment horizontal="right" vertical="center"/>
    </xf>
    <xf numFmtId="164" fontId="7" fillId="0" borderId="40" xfId="46" applyNumberFormat="1" applyFont="1" applyFill="1" applyBorder="1" applyAlignment="1">
      <alignment horizontal="right" vertical="center"/>
    </xf>
    <xf numFmtId="3" fontId="4" fillId="0" borderId="40" xfId="48" applyNumberFormat="1" applyFont="1" applyFill="1" applyBorder="1" applyAlignment="1">
      <alignment horizontal="right" vertical="center"/>
    </xf>
    <xf numFmtId="0" fontId="9" fillId="0" borderId="0" xfId="54" applyFont="1" applyBorder="1">
      <alignment/>
      <protection/>
    </xf>
    <xf numFmtId="3" fontId="5" fillId="0" borderId="0" xfId="54" applyNumberFormat="1" applyFont="1">
      <alignment/>
      <protection/>
    </xf>
    <xf numFmtId="166" fontId="9" fillId="0" borderId="0" xfId="54" applyNumberFormat="1" applyFont="1">
      <alignment/>
      <protection/>
    </xf>
    <xf numFmtId="0" fontId="19" fillId="0" borderId="0" xfId="54" applyFont="1" applyBorder="1">
      <alignment/>
      <protection/>
    </xf>
    <xf numFmtId="0" fontId="19" fillId="0" borderId="0" xfId="54" applyFont="1">
      <alignment/>
      <protection/>
    </xf>
    <xf numFmtId="3" fontId="19" fillId="0" borderId="0" xfId="54" applyNumberFormat="1" applyFont="1">
      <alignment/>
      <protection/>
    </xf>
    <xf numFmtId="3" fontId="20" fillId="0" borderId="0" xfId="54" applyNumberFormat="1" applyFont="1">
      <alignment/>
      <protection/>
    </xf>
    <xf numFmtId="166" fontId="19" fillId="0" borderId="0" xfId="54" applyNumberFormat="1" applyFont="1">
      <alignment/>
      <protection/>
    </xf>
    <xf numFmtId="43" fontId="0" fillId="0" borderId="0" xfId="46" applyFont="1" applyAlignment="1">
      <alignment/>
    </xf>
    <xf numFmtId="2" fontId="59" fillId="0" borderId="0" xfId="0" applyNumberFormat="1" applyFont="1" applyAlignment="1">
      <alignment/>
    </xf>
    <xf numFmtId="167" fontId="9" fillId="0" borderId="0" xfId="57" applyNumberFormat="1" applyFont="1" applyAlignment="1">
      <alignment/>
    </xf>
    <xf numFmtId="10" fontId="5" fillId="0" borderId="0" xfId="54" applyNumberFormat="1" applyFont="1">
      <alignment/>
      <protection/>
    </xf>
    <xf numFmtId="0" fontId="6" fillId="0" borderId="0" xfId="54" applyFont="1" applyBorder="1" applyAlignment="1">
      <alignment horizontal="center"/>
      <protection/>
    </xf>
    <xf numFmtId="164" fontId="3" fillId="0" borderId="0" xfId="54" applyNumberFormat="1" applyFont="1" applyBorder="1" applyAlignment="1">
      <alignment horizontal="center"/>
      <protection/>
    </xf>
    <xf numFmtId="0" fontId="6" fillId="0" borderId="0" xfId="54" applyFont="1" applyBorder="1" applyAlignment="1">
      <alignment/>
      <protection/>
    </xf>
    <xf numFmtId="0" fontId="6" fillId="0" borderId="0" xfId="54" applyFont="1" applyBorder="1" applyAlignment="1">
      <alignment horizontal="center" vertical="center" wrapText="1"/>
      <protection/>
    </xf>
    <xf numFmtId="0" fontId="6" fillId="0" borderId="0" xfId="54" applyFont="1">
      <alignment/>
      <protection/>
    </xf>
    <xf numFmtId="0" fontId="3" fillId="0" borderId="0" xfId="54" applyFont="1" applyBorder="1" applyAlignment="1">
      <alignment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3" fillId="0" borderId="41" xfId="54" applyFont="1" applyFill="1" applyBorder="1" applyAlignment="1">
      <alignment horizontal="center" vertical="center" wrapText="1"/>
      <protection/>
    </xf>
    <xf numFmtId="0" fontId="3" fillId="0" borderId="31" xfId="54" applyFont="1" applyFill="1" applyBorder="1" applyAlignment="1">
      <alignment horizontal="center" vertical="center" wrapText="1"/>
      <protection/>
    </xf>
    <xf numFmtId="41" fontId="16" fillId="0" borderId="38" xfId="48" applyFont="1" applyBorder="1" applyAlignment="1">
      <alignment horizontal="left" vertical="center"/>
    </xf>
    <xf numFmtId="41" fontId="16" fillId="0" borderId="23" xfId="48" applyFont="1" applyBorder="1" applyAlignment="1">
      <alignment horizontal="left" vertical="center"/>
    </xf>
    <xf numFmtId="41" fontId="16" fillId="0" borderId="27" xfId="48" applyFont="1" applyBorder="1" applyAlignment="1">
      <alignment horizontal="left" vertical="center"/>
    </xf>
    <xf numFmtId="0" fontId="16" fillId="0" borderId="42" xfId="48" applyNumberFormat="1" applyFont="1" applyBorder="1" applyAlignment="1">
      <alignment horizontal="left" vertical="center"/>
    </xf>
    <xf numFmtId="0" fontId="16" fillId="0" borderId="40" xfId="48" applyNumberFormat="1" applyFont="1" applyBorder="1" applyAlignment="1">
      <alignment horizontal="left" vertical="center"/>
    </xf>
    <xf numFmtId="0" fontId="16" fillId="0" borderId="43" xfId="48" applyNumberFormat="1" applyFont="1" applyBorder="1" applyAlignment="1">
      <alignment horizontal="left" vertical="center"/>
    </xf>
    <xf numFmtId="0" fontId="18" fillId="0" borderId="0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0" xfId="54" applyFont="1" applyAlignment="1">
      <alignment horizontal="center" vertical="center" wrapText="1"/>
      <protection/>
    </xf>
    <xf numFmtId="0" fontId="6" fillId="0" borderId="0" xfId="54" applyFont="1" applyBorder="1" applyAlignment="1">
      <alignment horizontal="center"/>
      <protection/>
    </xf>
    <xf numFmtId="0" fontId="6" fillId="0" borderId="0" xfId="54" applyFont="1" applyBorder="1" applyAlignment="1">
      <alignment horizontal="left"/>
      <protection/>
    </xf>
    <xf numFmtId="0" fontId="4" fillId="0" borderId="41" xfId="55" applyFont="1" applyFill="1" applyBorder="1" applyAlignment="1">
      <alignment horizontal="center" vertical="center" wrapText="1"/>
      <protection/>
    </xf>
    <xf numFmtId="0" fontId="5" fillId="0" borderId="31" xfId="54" applyFont="1" applyFill="1" applyBorder="1" applyAlignment="1">
      <alignment horizontal="center" vertical="center" wrapText="1"/>
      <protection/>
    </xf>
    <xf numFmtId="0" fontId="4" fillId="0" borderId="33" xfId="54" applyFont="1" applyFill="1" applyBorder="1" applyAlignment="1">
      <alignment horizontal="center" vertical="center"/>
      <protection/>
    </xf>
    <xf numFmtId="0" fontId="4" fillId="0" borderId="32" xfId="54" applyFont="1" applyFill="1" applyBorder="1" applyAlignment="1">
      <alignment horizontal="center" vertical="center"/>
      <protection/>
    </xf>
    <xf numFmtId="0" fontId="4" fillId="0" borderId="44" xfId="54" applyFont="1" applyFill="1" applyBorder="1" applyAlignment="1">
      <alignment horizontal="center" vertical="center"/>
      <protection/>
    </xf>
    <xf numFmtId="0" fontId="4" fillId="0" borderId="45" xfId="54" applyFont="1" applyFill="1" applyBorder="1" applyAlignment="1">
      <alignment horizontal="center" vertical="center"/>
      <protection/>
    </xf>
    <xf numFmtId="3" fontId="3" fillId="0" borderId="41" xfId="54" applyNumberFormat="1" applyFont="1" applyFill="1" applyBorder="1" applyAlignment="1">
      <alignment horizontal="center" vertical="center" wrapText="1"/>
      <protection/>
    </xf>
    <xf numFmtId="3" fontId="3" fillId="0" borderId="31" xfId="54" applyNumberFormat="1" applyFont="1" applyFill="1" applyBorder="1" applyAlignment="1">
      <alignment horizontal="center" vertical="center" wrapText="1"/>
      <protection/>
    </xf>
    <xf numFmtId="3" fontId="3" fillId="0" borderId="46" xfId="54" applyNumberFormat="1" applyFont="1" applyFill="1" applyBorder="1" applyAlignment="1">
      <alignment horizontal="center" vertical="center" wrapText="1"/>
      <protection/>
    </xf>
    <xf numFmtId="0" fontId="4" fillId="0" borderId="41" xfId="54" applyFont="1" applyFill="1" applyBorder="1" applyAlignment="1">
      <alignment horizontal="center" vertical="center" wrapText="1"/>
      <protection/>
    </xf>
    <xf numFmtId="0" fontId="4" fillId="0" borderId="31" xfId="54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left" vertical="center"/>
      <protection/>
    </xf>
    <xf numFmtId="0" fontId="9" fillId="0" borderId="0" xfId="55" applyFont="1" applyAlignment="1">
      <alignment horizontal="left" vertical="center"/>
      <protection/>
    </xf>
    <xf numFmtId="0" fontId="13" fillId="0" borderId="33" xfId="55" applyFont="1" applyFill="1" applyBorder="1" applyAlignment="1">
      <alignment horizontal="center" vertical="center" wrapText="1"/>
      <protection/>
    </xf>
    <xf numFmtId="0" fontId="14" fillId="0" borderId="47" xfId="54" applyFont="1" applyBorder="1">
      <alignment/>
      <protection/>
    </xf>
    <xf numFmtId="0" fontId="14" fillId="0" borderId="32" xfId="54" applyFont="1" applyBorder="1">
      <alignment/>
      <protection/>
    </xf>
    <xf numFmtId="0" fontId="14" fillId="0" borderId="44" xfId="54" applyFont="1" applyBorder="1">
      <alignment/>
      <protection/>
    </xf>
    <xf numFmtId="0" fontId="14" fillId="0" borderId="0" xfId="54" applyFont="1" applyBorder="1">
      <alignment/>
      <protection/>
    </xf>
    <xf numFmtId="0" fontId="14" fillId="0" borderId="45" xfId="54" applyFont="1" applyBorder="1">
      <alignment/>
      <protection/>
    </xf>
    <xf numFmtId="0" fontId="4" fillId="0" borderId="47" xfId="55" applyFont="1" applyFill="1" applyBorder="1" applyAlignment="1">
      <alignment horizontal="center" vertical="center" wrapText="1"/>
      <protection/>
    </xf>
    <xf numFmtId="0" fontId="0" fillId="0" borderId="48" xfId="54" applyBorder="1">
      <alignment/>
      <protection/>
    </xf>
    <xf numFmtId="0" fontId="5" fillId="0" borderId="49" xfId="54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1" fillId="0" borderId="5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NDOS CESAN-PENS" xfId="48"/>
    <cellStyle name="Millares 2" xfId="49"/>
    <cellStyle name="Currency" xfId="50"/>
    <cellStyle name="Currency [0]" xfId="51"/>
    <cellStyle name="Neutral" xfId="52"/>
    <cellStyle name="Normal 2" xfId="53"/>
    <cellStyle name="Normal 4" xfId="54"/>
    <cellStyle name="Normal_PAC-MODIFICADO-1700NUEVO b apla-0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JECUCION%20DE%20INGRESOS%202016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ENERO 2016"/>
      <sheetName val="FEBRERO 2016"/>
      <sheetName val="MARZO 2016"/>
      <sheetName val="ABRIL 2016"/>
      <sheetName val="MAYO 2016"/>
      <sheetName val="JUNIO 2016"/>
      <sheetName val="JULIO 2016"/>
      <sheetName val="AGOSTO 2016"/>
      <sheetName val="septiembre 2016"/>
      <sheetName val="Octubre 2016"/>
      <sheetName val="Noviembre 2016"/>
      <sheetName val="Diciembre 2016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2"/>
  <sheetViews>
    <sheetView tabSelected="1" zoomScale="75" zoomScaleNormal="75" zoomScalePageLayoutView="0" workbookViewId="0" topLeftCell="A1">
      <selection activeCell="A1" sqref="A1"/>
    </sheetView>
  </sheetViews>
  <sheetFormatPr defaultColWidth="8.421875" defaultRowHeight="12.75"/>
  <cols>
    <col min="1" max="1" width="12.7109375" style="3" customWidth="1"/>
    <col min="2" max="2" width="33.00390625" style="1" customWidth="1"/>
    <col min="3" max="3" width="18.8515625" style="1" bestFit="1" customWidth="1"/>
    <col min="4" max="4" width="16.8515625" style="1" bestFit="1" customWidth="1"/>
    <col min="5" max="5" width="19.57421875" style="1" bestFit="1" customWidth="1"/>
    <col min="6" max="6" width="17.7109375" style="1" bestFit="1" customWidth="1"/>
    <col min="7" max="7" width="34.8515625" style="1" bestFit="1" customWidth="1"/>
    <col min="8" max="9" width="17.8515625" style="1" bestFit="1" customWidth="1"/>
    <col min="10" max="10" width="18.8515625" style="1" bestFit="1" customWidth="1"/>
    <col min="11" max="11" width="14.8515625" style="1" bestFit="1" customWidth="1"/>
    <col min="12" max="12" width="17.28125" style="1" bestFit="1" customWidth="1"/>
    <col min="13" max="13" width="33.8515625" style="1" bestFit="1" customWidth="1"/>
    <col min="14" max="14" width="17.28125" style="1" bestFit="1" customWidth="1"/>
    <col min="15" max="15" width="12.57421875" style="1" customWidth="1"/>
    <col min="16" max="16" width="18.57421875" style="1" customWidth="1"/>
    <col min="17" max="17" width="15.57421875" style="1" customWidth="1"/>
    <col min="18" max="18" width="13.00390625" style="1" customWidth="1"/>
    <col min="19" max="19" width="11.7109375" style="1" bestFit="1" customWidth="1"/>
    <col min="20" max="16384" width="8.421875" style="1" customWidth="1"/>
  </cols>
  <sheetData>
    <row r="2" spans="1:15" ht="15.75">
      <c r="A2" s="265" t="s">
        <v>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5" ht="12.75">
      <c r="A3" s="266" t="s">
        <v>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</row>
    <row r="4" spans="1:15" ht="12.75">
      <c r="A4" s="266" t="s">
        <v>2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</row>
    <row r="5" spans="1:15" ht="12.75">
      <c r="A5" s="266" t="s">
        <v>3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</row>
    <row r="6" spans="1:1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6:15" ht="12.75">
      <c r="F8" s="4"/>
      <c r="G8" s="4"/>
      <c r="H8" s="4"/>
      <c r="I8" s="4"/>
      <c r="J8" s="4"/>
      <c r="K8" s="4"/>
      <c r="L8" s="5"/>
      <c r="M8" s="4"/>
      <c r="N8" s="4"/>
      <c r="O8" s="6"/>
    </row>
    <row r="9" spans="1:15" ht="12.75">
      <c r="A9" s="7"/>
      <c r="B9" s="8"/>
      <c r="C9" s="8" t="s">
        <v>4</v>
      </c>
      <c r="D9" s="9" t="s">
        <v>5</v>
      </c>
      <c r="E9" s="9" t="s">
        <v>6</v>
      </c>
      <c r="F9" s="9" t="s">
        <v>7</v>
      </c>
      <c r="G9" s="9" t="s">
        <v>8</v>
      </c>
      <c r="H9" s="10" t="s">
        <v>9</v>
      </c>
      <c r="I9" s="9" t="s">
        <v>10</v>
      </c>
      <c r="J9" s="11" t="s">
        <v>9</v>
      </c>
      <c r="K9" s="11"/>
      <c r="L9" s="9" t="s">
        <v>11</v>
      </c>
      <c r="M9" s="12" t="s">
        <v>12</v>
      </c>
      <c r="N9" s="9" t="s">
        <v>13</v>
      </c>
      <c r="O9" s="13" t="s">
        <v>14</v>
      </c>
    </row>
    <row r="10" spans="1:15" ht="22.5">
      <c r="A10" s="14" t="s">
        <v>15</v>
      </c>
      <c r="B10" s="15" t="s">
        <v>16</v>
      </c>
      <c r="C10" s="15" t="s">
        <v>17</v>
      </c>
      <c r="D10" s="16" t="s">
        <v>8</v>
      </c>
      <c r="E10" s="16" t="s">
        <v>4</v>
      </c>
      <c r="F10" s="16" t="s">
        <v>8</v>
      </c>
      <c r="G10" s="16" t="s">
        <v>18</v>
      </c>
      <c r="H10" s="17" t="s">
        <v>19</v>
      </c>
      <c r="I10" s="16" t="s">
        <v>20</v>
      </c>
      <c r="J10" s="18" t="s">
        <v>20</v>
      </c>
      <c r="K10" s="19" t="s">
        <v>21</v>
      </c>
      <c r="L10" s="16" t="s">
        <v>22</v>
      </c>
      <c r="M10" s="20" t="s">
        <v>23</v>
      </c>
      <c r="N10" s="16" t="s">
        <v>24</v>
      </c>
      <c r="O10" s="21" t="s">
        <v>10</v>
      </c>
    </row>
    <row r="11" spans="1:16" ht="12.75">
      <c r="A11" s="22"/>
      <c r="B11" s="23"/>
      <c r="C11" s="24" t="s">
        <v>25</v>
      </c>
      <c r="D11" s="24" t="s">
        <v>26</v>
      </c>
      <c r="E11" s="24" t="s">
        <v>27</v>
      </c>
      <c r="F11" s="24" t="s">
        <v>26</v>
      </c>
      <c r="G11" s="24" t="s">
        <v>28</v>
      </c>
      <c r="H11" s="25">
        <v>2016</v>
      </c>
      <c r="I11" s="24">
        <v>2016</v>
      </c>
      <c r="J11" s="26">
        <v>2016</v>
      </c>
      <c r="K11" s="26">
        <v>2016</v>
      </c>
      <c r="L11" s="26">
        <v>2016</v>
      </c>
      <c r="M11" s="16"/>
      <c r="N11" s="27"/>
      <c r="O11" s="21" t="s">
        <v>29</v>
      </c>
      <c r="P11" s="6"/>
    </row>
    <row r="12" spans="1:16" ht="24.75" customHeight="1">
      <c r="A12" s="28" t="s">
        <v>30</v>
      </c>
      <c r="B12" s="29" t="s">
        <v>31</v>
      </c>
      <c r="C12" s="30">
        <f aca="true" t="shared" si="0" ref="C12:N12">+C14+C40+C61</f>
        <v>15844721000</v>
      </c>
      <c r="D12" s="30">
        <f t="shared" si="0"/>
        <v>641656545</v>
      </c>
      <c r="E12" s="30">
        <f t="shared" si="0"/>
        <v>2999013156</v>
      </c>
      <c r="F12" s="30">
        <f t="shared" si="0"/>
        <v>641656545</v>
      </c>
      <c r="G12" s="30">
        <f t="shared" si="0"/>
        <v>12845707844</v>
      </c>
      <c r="H12" s="30">
        <f t="shared" si="0"/>
        <v>6136482486</v>
      </c>
      <c r="I12" s="30">
        <f t="shared" si="0"/>
        <v>1472780419</v>
      </c>
      <c r="J12" s="30">
        <f t="shared" si="0"/>
        <v>7609262905</v>
      </c>
      <c r="K12" s="30">
        <f t="shared" si="0"/>
        <v>317005810</v>
      </c>
      <c r="L12" s="30">
        <f t="shared" si="0"/>
        <v>44033299</v>
      </c>
      <c r="M12" s="30">
        <f t="shared" si="0"/>
        <v>7970302014</v>
      </c>
      <c r="N12" s="30">
        <f t="shared" si="0"/>
        <v>4875405830</v>
      </c>
      <c r="O12" s="31">
        <f aca="true" t="shared" si="1" ref="O12:O40">M12/G12</f>
        <v>0.6204642134783398</v>
      </c>
      <c r="P12" s="6"/>
    </row>
    <row r="13" spans="1:16" ht="24.75" customHeight="1">
      <c r="A13" s="28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33"/>
      <c r="O13" s="31"/>
      <c r="P13" s="6"/>
    </row>
    <row r="14" spans="1:16" ht="12.75">
      <c r="A14" s="28" t="s">
        <v>32</v>
      </c>
      <c r="B14" s="35" t="s">
        <v>33</v>
      </c>
      <c r="C14" s="36">
        <f aca="true" t="shared" si="2" ref="C14:I14">SUM(C15:C39)</f>
        <v>5166077000</v>
      </c>
      <c r="D14" s="36">
        <f t="shared" si="2"/>
        <v>155600000</v>
      </c>
      <c r="E14" s="36">
        <f t="shared" si="2"/>
        <v>35437000</v>
      </c>
      <c r="F14" s="36">
        <f t="shared" si="2"/>
        <v>139600000</v>
      </c>
      <c r="G14" s="36">
        <f t="shared" si="2"/>
        <v>5146640000</v>
      </c>
      <c r="H14" s="36">
        <f t="shared" si="2"/>
        <v>3831944025</v>
      </c>
      <c r="I14" s="36">
        <f t="shared" si="2"/>
        <v>701005157</v>
      </c>
      <c r="J14" s="36">
        <f>SUM(J15:J39)</f>
        <v>4532949182</v>
      </c>
      <c r="K14" s="36">
        <f>SUM(K15:K39)</f>
        <v>279291112</v>
      </c>
      <c r="L14" s="36">
        <f>SUM(L15:L39)</f>
        <v>4000000</v>
      </c>
      <c r="M14" s="37">
        <f>SUM(M15:M39)</f>
        <v>4816240294</v>
      </c>
      <c r="N14" s="36">
        <f>SUM(N15:N39)</f>
        <v>330399706</v>
      </c>
      <c r="O14" s="38">
        <f t="shared" si="1"/>
        <v>0.9358028333048358</v>
      </c>
      <c r="P14" s="39"/>
    </row>
    <row r="15" spans="1:17" ht="13.5" customHeight="1">
      <c r="A15" s="40" t="s">
        <v>34</v>
      </c>
      <c r="B15" s="41" t="s">
        <v>35</v>
      </c>
      <c r="C15" s="42">
        <v>2467985000</v>
      </c>
      <c r="D15" s="43">
        <f>64015000+10000000</f>
        <v>74015000</v>
      </c>
      <c r="E15" s="43"/>
      <c r="F15" s="44">
        <v>0</v>
      </c>
      <c r="G15" s="44">
        <f>+C15+D15-E15-F15</f>
        <v>2542000000</v>
      </c>
      <c r="H15" s="44">
        <v>2260248646</v>
      </c>
      <c r="I15" s="44">
        <v>219351567</v>
      </c>
      <c r="J15" s="45">
        <f aca="true" t="shared" si="3" ref="J15:J50">+H15+I15</f>
        <v>2479600213</v>
      </c>
      <c r="K15" s="45"/>
      <c r="L15" s="45">
        <v>0</v>
      </c>
      <c r="M15" s="46">
        <f>+J15+K15+L15</f>
        <v>2479600213</v>
      </c>
      <c r="N15" s="47">
        <f>+G15-M15</f>
        <v>62399787</v>
      </c>
      <c r="O15" s="38">
        <f t="shared" si="1"/>
        <v>0.9754524834775767</v>
      </c>
      <c r="P15" s="39"/>
      <c r="Q15" s="6"/>
    </row>
    <row r="16" spans="1:16" ht="13.5" customHeight="1">
      <c r="A16" s="48" t="s">
        <v>36</v>
      </c>
      <c r="B16" s="41" t="s">
        <v>37</v>
      </c>
      <c r="C16" s="42">
        <v>79823000</v>
      </c>
      <c r="D16" s="43"/>
      <c r="E16" s="43"/>
      <c r="F16" s="44"/>
      <c r="G16" s="44">
        <f aca="true" t="shared" si="4" ref="G16:G82">+C16+D16-E16-F16</f>
        <v>79823000</v>
      </c>
      <c r="H16" s="44">
        <v>38384280</v>
      </c>
      <c r="I16" s="44">
        <v>17124449</v>
      </c>
      <c r="J16" s="45">
        <f t="shared" si="3"/>
        <v>55508729</v>
      </c>
      <c r="K16" s="45"/>
      <c r="L16" s="45">
        <f>55508729-J16</f>
        <v>0</v>
      </c>
      <c r="M16" s="46">
        <f aca="true" t="shared" si="5" ref="M16:M30">+J16+K16+L16</f>
        <v>55508729</v>
      </c>
      <c r="N16" s="47">
        <f aca="true" t="shared" si="6" ref="N16:N66">+G16-M16</f>
        <v>24314271</v>
      </c>
      <c r="O16" s="38">
        <f t="shared" si="1"/>
        <v>0.6953976798667051</v>
      </c>
      <c r="P16" s="6"/>
    </row>
    <row r="17" spans="1:16" ht="13.5" customHeight="1">
      <c r="A17" s="48" t="s">
        <v>38</v>
      </c>
      <c r="B17" s="49" t="s">
        <v>39</v>
      </c>
      <c r="C17" s="42">
        <v>9004000</v>
      </c>
      <c r="D17" s="43">
        <v>9600000</v>
      </c>
      <c r="E17" s="43">
        <v>0</v>
      </c>
      <c r="F17" s="44">
        <v>9500000</v>
      </c>
      <c r="G17" s="44">
        <f t="shared" si="4"/>
        <v>9104000</v>
      </c>
      <c r="H17" s="44">
        <v>7430031</v>
      </c>
      <c r="I17" s="44">
        <v>0</v>
      </c>
      <c r="J17" s="45">
        <f t="shared" si="3"/>
        <v>7430031</v>
      </c>
      <c r="K17" s="45"/>
      <c r="L17" s="45">
        <v>0</v>
      </c>
      <c r="M17" s="46">
        <f t="shared" si="5"/>
        <v>7430031</v>
      </c>
      <c r="N17" s="47">
        <f t="shared" si="6"/>
        <v>1673969</v>
      </c>
      <c r="O17" s="38">
        <f t="shared" si="1"/>
        <v>0.8161281854130052</v>
      </c>
      <c r="P17" s="6"/>
    </row>
    <row r="18" spans="1:16" ht="13.5" customHeight="1">
      <c r="A18" s="48" t="s">
        <v>40</v>
      </c>
      <c r="B18" s="41" t="s">
        <v>41</v>
      </c>
      <c r="C18" s="42">
        <v>20723000</v>
      </c>
      <c r="D18" s="43"/>
      <c r="E18" s="43">
        <v>0</v>
      </c>
      <c r="F18" s="44">
        <v>2000000</v>
      </c>
      <c r="G18" s="44">
        <f t="shared" si="4"/>
        <v>18723000</v>
      </c>
      <c r="H18" s="44">
        <v>16580311</v>
      </c>
      <c r="I18" s="44">
        <v>1348700</v>
      </c>
      <c r="J18" s="45">
        <f t="shared" si="3"/>
        <v>17929011</v>
      </c>
      <c r="K18" s="45"/>
      <c r="L18" s="45">
        <v>0</v>
      </c>
      <c r="M18" s="46">
        <f t="shared" si="5"/>
        <v>17929011</v>
      </c>
      <c r="N18" s="47">
        <f t="shared" si="6"/>
        <v>793989</v>
      </c>
      <c r="O18" s="38">
        <f t="shared" si="1"/>
        <v>0.9575928537093414</v>
      </c>
      <c r="P18" s="6"/>
    </row>
    <row r="19" spans="1:16" ht="13.5" customHeight="1">
      <c r="A19" s="48" t="s">
        <v>42</v>
      </c>
      <c r="B19" s="41" t="s">
        <v>43</v>
      </c>
      <c r="C19" s="42">
        <v>81005000</v>
      </c>
      <c r="D19" s="43">
        <f>995000</f>
        <v>995000</v>
      </c>
      <c r="E19" s="43"/>
      <c r="F19" s="44"/>
      <c r="G19" s="44">
        <f t="shared" si="4"/>
        <v>82000000</v>
      </c>
      <c r="H19" s="44">
        <v>63644242</v>
      </c>
      <c r="I19" s="44">
        <v>0</v>
      </c>
      <c r="J19" s="45">
        <f t="shared" si="3"/>
        <v>63644242</v>
      </c>
      <c r="K19" s="45"/>
      <c r="L19" s="45">
        <v>0</v>
      </c>
      <c r="M19" s="46">
        <f t="shared" si="5"/>
        <v>63644242</v>
      </c>
      <c r="N19" s="47">
        <f t="shared" si="6"/>
        <v>18355758</v>
      </c>
      <c r="O19" s="38">
        <f t="shared" si="1"/>
        <v>0.7761492926829269</v>
      </c>
      <c r="P19" s="6"/>
    </row>
    <row r="20" spans="1:16" ht="13.5" customHeight="1">
      <c r="A20" s="48" t="s">
        <v>44</v>
      </c>
      <c r="B20" s="41" t="s">
        <v>45</v>
      </c>
      <c r="C20" s="42">
        <v>197186000</v>
      </c>
      <c r="D20" s="43">
        <v>600000</v>
      </c>
      <c r="E20" s="43"/>
      <c r="F20" s="44"/>
      <c r="G20" s="44">
        <f t="shared" si="4"/>
        <v>197786000</v>
      </c>
      <c r="H20" s="44">
        <v>153190886</v>
      </c>
      <c r="I20" s="44">
        <v>15669110</v>
      </c>
      <c r="J20" s="45">
        <f t="shared" si="3"/>
        <v>168859996</v>
      </c>
      <c r="K20" s="45"/>
      <c r="L20" s="45">
        <v>0</v>
      </c>
      <c r="M20" s="46">
        <f t="shared" si="5"/>
        <v>168859996</v>
      </c>
      <c r="N20" s="47">
        <f t="shared" si="6"/>
        <v>28926004</v>
      </c>
      <c r="O20" s="38">
        <f t="shared" si="1"/>
        <v>0.8537510036099623</v>
      </c>
      <c r="P20" s="6"/>
    </row>
    <row r="21" spans="1:16" ht="18" customHeight="1">
      <c r="A21" s="48" t="s">
        <v>46</v>
      </c>
      <c r="B21" s="41" t="s">
        <v>47</v>
      </c>
      <c r="C21" s="42">
        <v>14061000</v>
      </c>
      <c r="D21" s="43">
        <v>940000</v>
      </c>
      <c r="E21" s="43"/>
      <c r="F21" s="44"/>
      <c r="G21" s="44">
        <f t="shared" si="4"/>
        <v>15001000</v>
      </c>
      <c r="H21" s="44">
        <v>10900815</v>
      </c>
      <c r="I21" s="44">
        <v>3089700</v>
      </c>
      <c r="J21" s="45">
        <f t="shared" si="3"/>
        <v>13990515</v>
      </c>
      <c r="K21" s="45"/>
      <c r="L21" s="45">
        <v>0</v>
      </c>
      <c r="M21" s="46">
        <f t="shared" si="5"/>
        <v>13990515</v>
      </c>
      <c r="N21" s="47">
        <f t="shared" si="6"/>
        <v>1010485</v>
      </c>
      <c r="O21" s="38">
        <f t="shared" si="1"/>
        <v>0.9326388240783948</v>
      </c>
      <c r="P21" s="6"/>
    </row>
    <row r="22" spans="1:16" ht="13.5" customHeight="1">
      <c r="A22" s="48" t="s">
        <v>48</v>
      </c>
      <c r="B22" s="41" t="s">
        <v>49</v>
      </c>
      <c r="C22" s="42">
        <v>120344000</v>
      </c>
      <c r="D22" s="43"/>
      <c r="E22" s="43"/>
      <c r="F22" s="44"/>
      <c r="G22" s="44">
        <f t="shared" si="4"/>
        <v>120344000</v>
      </c>
      <c r="H22" s="44">
        <v>108858512</v>
      </c>
      <c r="I22" s="44">
        <v>1948015</v>
      </c>
      <c r="J22" s="45">
        <f t="shared" si="3"/>
        <v>110806527</v>
      </c>
      <c r="K22" s="45"/>
      <c r="L22" s="45">
        <v>0</v>
      </c>
      <c r="M22" s="46">
        <f t="shared" si="5"/>
        <v>110806527</v>
      </c>
      <c r="N22" s="47">
        <f t="shared" si="6"/>
        <v>9537473</v>
      </c>
      <c r="O22" s="38">
        <f t="shared" si="1"/>
        <v>0.920748246692814</v>
      </c>
      <c r="P22" s="6"/>
    </row>
    <row r="23" spans="1:15" ht="13.5" customHeight="1">
      <c r="A23" s="48" t="s">
        <v>50</v>
      </c>
      <c r="B23" s="41" t="s">
        <v>51</v>
      </c>
      <c r="C23" s="42">
        <v>121501000</v>
      </c>
      <c r="D23" s="43">
        <v>9500000</v>
      </c>
      <c r="E23" s="43"/>
      <c r="F23" s="44"/>
      <c r="G23" s="44">
        <f t="shared" si="4"/>
        <v>131001000</v>
      </c>
      <c r="H23" s="44">
        <v>60832799</v>
      </c>
      <c r="I23" s="44">
        <v>58804433</v>
      </c>
      <c r="J23" s="45">
        <f t="shared" si="3"/>
        <v>119637232</v>
      </c>
      <c r="K23" s="45"/>
      <c r="L23" s="45">
        <v>0</v>
      </c>
      <c r="M23" s="46">
        <f t="shared" si="5"/>
        <v>119637232</v>
      </c>
      <c r="N23" s="47">
        <f t="shared" si="6"/>
        <v>11363768</v>
      </c>
      <c r="O23" s="38">
        <f t="shared" si="1"/>
        <v>0.9132543415699117</v>
      </c>
    </row>
    <row r="24" spans="1:15" ht="13.5" customHeight="1">
      <c r="A24" s="48" t="s">
        <v>52</v>
      </c>
      <c r="B24" s="50" t="s">
        <v>53</v>
      </c>
      <c r="C24" s="42">
        <v>235211000</v>
      </c>
      <c r="D24" s="43">
        <v>28800000</v>
      </c>
      <c r="E24" s="43"/>
      <c r="F24" s="44"/>
      <c r="G24" s="44">
        <f t="shared" si="4"/>
        <v>264011000</v>
      </c>
      <c r="H24" s="44">
        <v>41414988</v>
      </c>
      <c r="I24" s="44">
        <v>214476845</v>
      </c>
      <c r="J24" s="45">
        <f>+H24+I24</f>
        <v>255891833</v>
      </c>
      <c r="K24" s="45"/>
      <c r="L24" s="45">
        <v>0</v>
      </c>
      <c r="M24" s="46">
        <f t="shared" si="5"/>
        <v>255891833</v>
      </c>
      <c r="N24" s="47">
        <f t="shared" si="6"/>
        <v>8119167</v>
      </c>
      <c r="O24" s="38">
        <f t="shared" si="1"/>
        <v>0.9692468609262492</v>
      </c>
    </row>
    <row r="25" spans="1:16" ht="13.5" customHeight="1">
      <c r="A25" s="48" t="s">
        <v>54</v>
      </c>
      <c r="B25" s="41" t="s">
        <v>55</v>
      </c>
      <c r="C25" s="42">
        <v>15625000</v>
      </c>
      <c r="D25" s="43"/>
      <c r="E25" s="43">
        <v>15625000</v>
      </c>
      <c r="F25" s="44"/>
      <c r="G25" s="44">
        <f t="shared" si="4"/>
        <v>0</v>
      </c>
      <c r="H25" s="44">
        <v>0</v>
      </c>
      <c r="I25" s="44">
        <v>0</v>
      </c>
      <c r="J25" s="45">
        <f t="shared" si="3"/>
        <v>0</v>
      </c>
      <c r="K25" s="45"/>
      <c r="L25" s="45">
        <v>0</v>
      </c>
      <c r="M25" s="46">
        <f t="shared" si="5"/>
        <v>0</v>
      </c>
      <c r="N25" s="47">
        <f t="shared" si="6"/>
        <v>0</v>
      </c>
      <c r="O25" s="38">
        <v>0</v>
      </c>
      <c r="P25" s="6"/>
    </row>
    <row r="26" spans="1:15" ht="18.75" customHeight="1">
      <c r="A26" s="48" t="s">
        <v>56</v>
      </c>
      <c r="B26" s="41" t="s">
        <v>57</v>
      </c>
      <c r="C26" s="42">
        <v>12403000</v>
      </c>
      <c r="D26" s="43"/>
      <c r="E26" s="43"/>
      <c r="F26" s="44"/>
      <c r="G26" s="44">
        <f t="shared" si="4"/>
        <v>12403000</v>
      </c>
      <c r="H26" s="44">
        <v>4257685</v>
      </c>
      <c r="I26" s="44">
        <v>0</v>
      </c>
      <c r="J26" s="45">
        <f t="shared" si="3"/>
        <v>4257685</v>
      </c>
      <c r="K26" s="45"/>
      <c r="L26" s="45">
        <v>0</v>
      </c>
      <c r="M26" s="46">
        <f t="shared" si="5"/>
        <v>4257685</v>
      </c>
      <c r="N26" s="47">
        <f t="shared" si="6"/>
        <v>8145315</v>
      </c>
      <c r="O26" s="38">
        <f t="shared" si="1"/>
        <v>0.34327864226396837</v>
      </c>
    </row>
    <row r="27" spans="1:16" ht="13.5" customHeight="1">
      <c r="A27" s="48" t="s">
        <v>58</v>
      </c>
      <c r="B27" s="41" t="s">
        <v>59</v>
      </c>
      <c r="C27" s="42">
        <v>1283000</v>
      </c>
      <c r="D27" s="43">
        <v>150000</v>
      </c>
      <c r="E27" s="43"/>
      <c r="F27" s="44"/>
      <c r="G27" s="44">
        <f t="shared" si="4"/>
        <v>1433000</v>
      </c>
      <c r="H27" s="44">
        <v>1103639</v>
      </c>
      <c r="I27" s="44">
        <v>85814</v>
      </c>
      <c r="J27" s="45">
        <f t="shared" si="3"/>
        <v>1189453</v>
      </c>
      <c r="K27" s="45"/>
      <c r="L27" s="45">
        <v>0</v>
      </c>
      <c r="M27" s="46">
        <f t="shared" si="5"/>
        <v>1189453</v>
      </c>
      <c r="N27" s="47">
        <f t="shared" si="6"/>
        <v>243547</v>
      </c>
      <c r="O27" s="38">
        <f t="shared" si="1"/>
        <v>0.8300439637124912</v>
      </c>
      <c r="P27" s="6"/>
    </row>
    <row r="28" spans="1:16" ht="24.75" customHeight="1">
      <c r="A28" s="48" t="s">
        <v>60</v>
      </c>
      <c r="B28" s="41" t="s">
        <v>61</v>
      </c>
      <c r="C28" s="42">
        <v>72000000</v>
      </c>
      <c r="D28" s="43">
        <v>3000000</v>
      </c>
      <c r="E28" s="43"/>
      <c r="F28" s="44"/>
      <c r="G28" s="44">
        <f t="shared" si="4"/>
        <v>75000000</v>
      </c>
      <c r="H28" s="44">
        <v>60580801</v>
      </c>
      <c r="I28" s="44">
        <v>7538883</v>
      </c>
      <c r="J28" s="45">
        <f t="shared" si="3"/>
        <v>68119684</v>
      </c>
      <c r="K28" s="45"/>
      <c r="L28" s="45">
        <v>0</v>
      </c>
      <c r="M28" s="46">
        <f t="shared" si="5"/>
        <v>68119684</v>
      </c>
      <c r="N28" s="47">
        <f t="shared" si="6"/>
        <v>6880316</v>
      </c>
      <c r="O28" s="38">
        <f t="shared" si="1"/>
        <v>0.9082624533333333</v>
      </c>
      <c r="P28" s="39"/>
    </row>
    <row r="29" spans="1:15" ht="26.25" customHeight="1">
      <c r="A29" s="48" t="s">
        <v>62</v>
      </c>
      <c r="B29" s="41" t="s">
        <v>63</v>
      </c>
      <c r="C29" s="42">
        <v>7812000</v>
      </c>
      <c r="D29" s="43"/>
      <c r="E29" s="43">
        <v>7812000</v>
      </c>
      <c r="F29" s="44"/>
      <c r="G29" s="44">
        <f t="shared" si="4"/>
        <v>0</v>
      </c>
      <c r="H29" s="44">
        <v>0</v>
      </c>
      <c r="I29" s="44">
        <v>0</v>
      </c>
      <c r="J29" s="45">
        <f t="shared" si="3"/>
        <v>0</v>
      </c>
      <c r="K29" s="45"/>
      <c r="L29" s="45">
        <v>0</v>
      </c>
      <c r="M29" s="46">
        <f t="shared" si="5"/>
        <v>0</v>
      </c>
      <c r="N29" s="47">
        <f t="shared" si="6"/>
        <v>0</v>
      </c>
      <c r="O29" s="38">
        <v>0</v>
      </c>
    </row>
    <row r="30" spans="1:16" ht="17.25" customHeight="1">
      <c r="A30" s="48" t="s">
        <v>64</v>
      </c>
      <c r="B30" s="41" t="s">
        <v>65</v>
      </c>
      <c r="C30" s="42">
        <v>5000000</v>
      </c>
      <c r="D30" s="43"/>
      <c r="E30" s="43">
        <v>5000000</v>
      </c>
      <c r="F30" s="44"/>
      <c r="G30" s="44">
        <f t="shared" si="4"/>
        <v>0</v>
      </c>
      <c r="H30" s="44">
        <v>0</v>
      </c>
      <c r="I30" s="44">
        <v>0</v>
      </c>
      <c r="J30" s="45">
        <f t="shared" si="3"/>
        <v>0</v>
      </c>
      <c r="K30" s="45"/>
      <c r="L30" s="45">
        <v>0</v>
      </c>
      <c r="M30" s="46">
        <f t="shared" si="5"/>
        <v>0</v>
      </c>
      <c r="N30" s="47">
        <f t="shared" si="6"/>
        <v>0</v>
      </c>
      <c r="O30" s="38">
        <v>0</v>
      </c>
      <c r="P30" s="6"/>
    </row>
    <row r="31" spans="1:16" ht="13.5" customHeight="1">
      <c r="A31" s="48" t="s">
        <v>66</v>
      </c>
      <c r="B31" s="41" t="s">
        <v>67</v>
      </c>
      <c r="C31" s="43">
        <v>339961000</v>
      </c>
      <c r="D31" s="43"/>
      <c r="E31" s="43"/>
      <c r="F31" s="44"/>
      <c r="G31" s="44">
        <f t="shared" si="4"/>
        <v>339961000</v>
      </c>
      <c r="H31" s="44">
        <v>167146500</v>
      </c>
      <c r="I31" s="44">
        <v>81646720</v>
      </c>
      <c r="J31" s="45">
        <f t="shared" si="3"/>
        <v>248793220</v>
      </c>
      <c r="K31" s="45"/>
      <c r="L31" s="45">
        <v>4000000</v>
      </c>
      <c r="M31" s="46">
        <f>SUM(J31:L31)</f>
        <v>252793220</v>
      </c>
      <c r="N31" s="47">
        <f t="shared" si="6"/>
        <v>87167780</v>
      </c>
      <c r="O31" s="38">
        <f t="shared" si="1"/>
        <v>0.7435947652818999</v>
      </c>
      <c r="P31" s="39"/>
    </row>
    <row r="32" spans="1:16" ht="23.25" customHeight="1">
      <c r="A32" s="48" t="s">
        <v>68</v>
      </c>
      <c r="B32" s="51" t="s">
        <v>69</v>
      </c>
      <c r="C32" s="43">
        <v>7000000</v>
      </c>
      <c r="D32" s="43"/>
      <c r="E32" s="43">
        <v>7000000</v>
      </c>
      <c r="F32" s="44"/>
      <c r="G32" s="44">
        <f t="shared" si="4"/>
        <v>0</v>
      </c>
      <c r="H32" s="44">
        <v>0</v>
      </c>
      <c r="I32" s="44">
        <v>0</v>
      </c>
      <c r="J32" s="45">
        <f t="shared" si="3"/>
        <v>0</v>
      </c>
      <c r="K32" s="45"/>
      <c r="L32" s="45">
        <v>0</v>
      </c>
      <c r="M32" s="46">
        <f aca="true" t="shared" si="7" ref="M32:M60">SUM(J32:L32)</f>
        <v>0</v>
      </c>
      <c r="N32" s="47">
        <f t="shared" si="6"/>
        <v>0</v>
      </c>
      <c r="O32" s="38">
        <v>0</v>
      </c>
      <c r="P32" s="6"/>
    </row>
    <row r="33" spans="1:16" ht="24.75" customHeight="1">
      <c r="A33" s="48" t="s">
        <v>70</v>
      </c>
      <c r="B33" s="50" t="s">
        <v>71</v>
      </c>
      <c r="C33" s="43">
        <v>444089000</v>
      </c>
      <c r="D33" s="43"/>
      <c r="E33" s="43"/>
      <c r="F33" s="44">
        <v>70000000</v>
      </c>
      <c r="G33" s="44">
        <f t="shared" si="4"/>
        <v>374089000</v>
      </c>
      <c r="H33" s="44">
        <v>57172737</v>
      </c>
      <c r="I33" s="44">
        <v>9624124</v>
      </c>
      <c r="J33" s="45">
        <f t="shared" si="3"/>
        <v>66796861</v>
      </c>
      <c r="K33" s="45">
        <v>279291112</v>
      </c>
      <c r="L33" s="45">
        <v>0</v>
      </c>
      <c r="M33" s="46">
        <f t="shared" si="7"/>
        <v>346087973</v>
      </c>
      <c r="N33" s="47">
        <f t="shared" si="6"/>
        <v>28001027</v>
      </c>
      <c r="O33" s="38">
        <f t="shared" si="1"/>
        <v>0.9251487560446846</v>
      </c>
      <c r="P33" s="6"/>
    </row>
    <row r="34" spans="1:15" ht="22.5" customHeight="1">
      <c r="A34" s="48" t="s">
        <v>72</v>
      </c>
      <c r="B34" s="50" t="s">
        <v>73</v>
      </c>
      <c r="C34" s="43">
        <v>282710000</v>
      </c>
      <c r="D34" s="43"/>
      <c r="E34" s="43"/>
      <c r="F34" s="44">
        <v>20000000</v>
      </c>
      <c r="G34" s="44">
        <f t="shared" si="4"/>
        <v>262710000</v>
      </c>
      <c r="H34" s="44">
        <v>217690817</v>
      </c>
      <c r="I34" s="44">
        <v>19442737</v>
      </c>
      <c r="J34" s="45">
        <f t="shared" si="3"/>
        <v>237133554</v>
      </c>
      <c r="K34" s="45"/>
      <c r="L34" s="45">
        <v>0</v>
      </c>
      <c r="M34" s="46">
        <f t="shared" si="7"/>
        <v>237133554</v>
      </c>
      <c r="N34" s="47">
        <f t="shared" si="6"/>
        <v>25576446</v>
      </c>
      <c r="O34" s="38">
        <f t="shared" si="1"/>
        <v>0.9026438049560351</v>
      </c>
    </row>
    <row r="35" spans="1:15" ht="18.75" customHeight="1">
      <c r="A35" s="48" t="s">
        <v>74</v>
      </c>
      <c r="B35" s="50" t="s">
        <v>75</v>
      </c>
      <c r="C35" s="43">
        <v>325500000</v>
      </c>
      <c r="D35" s="43">
        <v>28000000</v>
      </c>
      <c r="E35" s="43"/>
      <c r="F35" s="44">
        <v>18100000</v>
      </c>
      <c r="G35" s="44">
        <f t="shared" si="4"/>
        <v>335400000</v>
      </c>
      <c r="H35" s="44">
        <v>306269364</v>
      </c>
      <c r="I35" s="44">
        <v>27449160</v>
      </c>
      <c r="J35" s="45">
        <f t="shared" si="3"/>
        <v>333718524</v>
      </c>
      <c r="K35" s="45"/>
      <c r="L35" s="45">
        <v>0</v>
      </c>
      <c r="M35" s="46">
        <f t="shared" si="7"/>
        <v>333718524</v>
      </c>
      <c r="N35" s="47">
        <f t="shared" si="6"/>
        <v>1681476</v>
      </c>
      <c r="O35" s="38">
        <f t="shared" si="1"/>
        <v>0.9949866547406082</v>
      </c>
    </row>
    <row r="36" spans="1:15" ht="18" customHeight="1">
      <c r="A36" s="48" t="s">
        <v>76</v>
      </c>
      <c r="B36" s="50" t="s">
        <v>77</v>
      </c>
      <c r="C36" s="43">
        <v>16062000</v>
      </c>
      <c r="D36" s="43"/>
      <c r="E36" s="43"/>
      <c r="F36" s="44"/>
      <c r="G36" s="44">
        <f t="shared" si="4"/>
        <v>16062000</v>
      </c>
      <c r="H36" s="44">
        <v>12619872</v>
      </c>
      <c r="I36" s="44">
        <v>1085600</v>
      </c>
      <c r="J36" s="45">
        <f t="shared" si="3"/>
        <v>13705472</v>
      </c>
      <c r="K36" s="45"/>
      <c r="L36" s="45">
        <v>0</v>
      </c>
      <c r="M36" s="46">
        <f t="shared" si="7"/>
        <v>13705472</v>
      </c>
      <c r="N36" s="47">
        <f t="shared" si="6"/>
        <v>2356528</v>
      </c>
      <c r="O36" s="38">
        <f t="shared" si="1"/>
        <v>0.8532855186153655</v>
      </c>
    </row>
    <row r="37" spans="1:15" ht="18" customHeight="1">
      <c r="A37" s="48" t="s">
        <v>78</v>
      </c>
      <c r="B37" s="50" t="s">
        <v>79</v>
      </c>
      <c r="C37" s="43">
        <v>63349000</v>
      </c>
      <c r="D37" s="43"/>
      <c r="E37" s="43"/>
      <c r="F37" s="44"/>
      <c r="G37" s="44">
        <f t="shared" si="4"/>
        <v>63349000</v>
      </c>
      <c r="H37" s="44">
        <v>55742600</v>
      </c>
      <c r="I37" s="44">
        <v>4959600</v>
      </c>
      <c r="J37" s="45">
        <f t="shared" si="3"/>
        <v>60702200</v>
      </c>
      <c r="K37" s="45"/>
      <c r="L37" s="45">
        <v>0</v>
      </c>
      <c r="M37" s="46">
        <f t="shared" si="7"/>
        <v>60702200</v>
      </c>
      <c r="N37" s="47">
        <f t="shared" si="6"/>
        <v>2646800</v>
      </c>
      <c r="O37" s="38">
        <f t="shared" si="1"/>
        <v>0.9582187564128873</v>
      </c>
    </row>
    <row r="38" spans="1:15" ht="12.75" customHeight="1">
      <c r="A38" s="48" t="s">
        <v>80</v>
      </c>
      <c r="B38" s="50" t="s">
        <v>81</v>
      </c>
      <c r="C38" s="43">
        <v>97048000</v>
      </c>
      <c r="D38" s="43"/>
      <c r="E38" s="43">
        <v>0</v>
      </c>
      <c r="F38" s="44">
        <v>10000000</v>
      </c>
      <c r="G38" s="44">
        <f t="shared" si="4"/>
        <v>87048000</v>
      </c>
      <c r="H38" s="44">
        <v>79601500</v>
      </c>
      <c r="I38" s="44">
        <v>7439700</v>
      </c>
      <c r="J38" s="45">
        <f t="shared" si="3"/>
        <v>87041200</v>
      </c>
      <c r="K38" s="45"/>
      <c r="L38" s="45">
        <v>0</v>
      </c>
      <c r="M38" s="46">
        <f t="shared" si="7"/>
        <v>87041200</v>
      </c>
      <c r="N38" s="47">
        <f t="shared" si="6"/>
        <v>6800</v>
      </c>
      <c r="O38" s="38">
        <f t="shared" si="1"/>
        <v>0.9999218821799467</v>
      </c>
    </row>
    <row r="39" spans="1:16" ht="14.25" customHeight="1">
      <c r="A39" s="48" t="s">
        <v>82</v>
      </c>
      <c r="B39" s="52" t="s">
        <v>83</v>
      </c>
      <c r="C39" s="43">
        <v>129392000</v>
      </c>
      <c r="D39" s="43"/>
      <c r="E39" s="43">
        <v>0</v>
      </c>
      <c r="F39" s="44">
        <v>10000000</v>
      </c>
      <c r="G39" s="44">
        <f t="shared" si="4"/>
        <v>119392000</v>
      </c>
      <c r="H39" s="44">
        <v>108273000</v>
      </c>
      <c r="I39" s="44">
        <v>9920000</v>
      </c>
      <c r="J39" s="45">
        <f t="shared" si="3"/>
        <v>118193000</v>
      </c>
      <c r="K39" s="45"/>
      <c r="L39" s="45">
        <v>0</v>
      </c>
      <c r="M39" s="46">
        <f t="shared" si="7"/>
        <v>118193000</v>
      </c>
      <c r="N39" s="47">
        <f t="shared" si="6"/>
        <v>1199000</v>
      </c>
      <c r="O39" s="38">
        <f t="shared" si="1"/>
        <v>0.9899574510854998</v>
      </c>
      <c r="P39" s="53"/>
    </row>
    <row r="40" spans="1:16" ht="12.75">
      <c r="A40" s="54" t="s">
        <v>84</v>
      </c>
      <c r="B40" s="35" t="s">
        <v>85</v>
      </c>
      <c r="C40" s="36">
        <f>SUM(C42:C60)</f>
        <v>4554367000</v>
      </c>
      <c r="D40" s="36">
        <f>SUM(D42:D60)</f>
        <v>486056545</v>
      </c>
      <c r="E40" s="36">
        <f>SUM(E42:E60)</f>
        <v>887729638</v>
      </c>
      <c r="F40" s="36">
        <f>SUM(F42:F60)</f>
        <v>502056545</v>
      </c>
      <c r="G40" s="36">
        <f aca="true" t="shared" si="8" ref="G40:N40">SUM(G42:G60)</f>
        <v>3650637362</v>
      </c>
      <c r="H40" s="36">
        <f t="shared" si="8"/>
        <v>2158308967</v>
      </c>
      <c r="I40" s="36">
        <f t="shared" si="8"/>
        <v>769928714</v>
      </c>
      <c r="J40" s="36">
        <f t="shared" si="8"/>
        <v>2928237681</v>
      </c>
      <c r="K40" s="36">
        <f t="shared" si="8"/>
        <v>37714698</v>
      </c>
      <c r="L40" s="36">
        <f t="shared" si="8"/>
        <v>40033299</v>
      </c>
      <c r="M40" s="37">
        <f>SUM(M42:M60)</f>
        <v>3005985678</v>
      </c>
      <c r="N40" s="36">
        <f t="shared" si="8"/>
        <v>644651684</v>
      </c>
      <c r="O40" s="38">
        <f t="shared" si="1"/>
        <v>0.8234139356841437</v>
      </c>
      <c r="P40" s="55"/>
    </row>
    <row r="41" spans="1:16" ht="12.75">
      <c r="A41" s="54"/>
      <c r="B41" s="56"/>
      <c r="C41" s="57"/>
      <c r="D41" s="57"/>
      <c r="E41" s="57"/>
      <c r="F41" s="57"/>
      <c r="G41" s="57"/>
      <c r="H41" s="57"/>
      <c r="I41" s="57"/>
      <c r="J41" s="36"/>
      <c r="K41" s="36"/>
      <c r="L41" s="36"/>
      <c r="M41" s="46">
        <f t="shared" si="7"/>
        <v>0</v>
      </c>
      <c r="N41" s="36"/>
      <c r="O41" s="38"/>
      <c r="P41" s="55"/>
    </row>
    <row r="42" spans="1:18" ht="15">
      <c r="A42" s="48" t="s">
        <v>86</v>
      </c>
      <c r="B42" s="41" t="s">
        <v>87</v>
      </c>
      <c r="C42" s="42">
        <v>0</v>
      </c>
      <c r="D42" s="43"/>
      <c r="E42" s="43"/>
      <c r="F42" s="44"/>
      <c r="G42" s="44">
        <f t="shared" si="4"/>
        <v>0</v>
      </c>
      <c r="H42" s="44">
        <v>0</v>
      </c>
      <c r="I42" s="43">
        <v>0</v>
      </c>
      <c r="J42" s="45">
        <f t="shared" si="3"/>
        <v>0</v>
      </c>
      <c r="K42" s="45"/>
      <c r="L42" s="45">
        <v>0</v>
      </c>
      <c r="M42" s="46">
        <f t="shared" si="7"/>
        <v>0</v>
      </c>
      <c r="N42" s="47">
        <f t="shared" si="6"/>
        <v>0</v>
      </c>
      <c r="O42" s="38">
        <v>0</v>
      </c>
      <c r="P42" s="55"/>
      <c r="Q42" s="55"/>
      <c r="R42" s="58"/>
    </row>
    <row r="43" spans="1:16" ht="12.75">
      <c r="A43" s="48" t="s">
        <v>88</v>
      </c>
      <c r="B43" s="50" t="s">
        <v>89</v>
      </c>
      <c r="C43" s="42">
        <v>66000000</v>
      </c>
      <c r="D43" s="43"/>
      <c r="E43" s="43">
        <v>19000000</v>
      </c>
      <c r="F43" s="44"/>
      <c r="G43" s="44">
        <f t="shared" si="4"/>
        <v>47000000</v>
      </c>
      <c r="H43" s="44">
        <v>8696598</v>
      </c>
      <c r="I43" s="43">
        <v>21595129</v>
      </c>
      <c r="J43" s="45">
        <f t="shared" si="3"/>
        <v>30291727</v>
      </c>
      <c r="K43" s="45"/>
      <c r="L43" s="45">
        <v>0</v>
      </c>
      <c r="M43" s="46">
        <f t="shared" si="7"/>
        <v>30291727</v>
      </c>
      <c r="N43" s="47">
        <f t="shared" si="6"/>
        <v>16708273</v>
      </c>
      <c r="O43" s="38">
        <f aca="true" t="shared" si="9" ref="O43:O71">M43/G43</f>
        <v>0.644504829787234</v>
      </c>
      <c r="P43" s="55"/>
    </row>
    <row r="44" spans="1:16" ht="12.75">
      <c r="A44" s="48" t="s">
        <v>90</v>
      </c>
      <c r="B44" s="50" t="s">
        <v>91</v>
      </c>
      <c r="C44" s="42">
        <v>2100000</v>
      </c>
      <c r="D44" s="43"/>
      <c r="E44" s="43">
        <v>2100000</v>
      </c>
      <c r="F44" s="44"/>
      <c r="G44" s="44">
        <f t="shared" si="4"/>
        <v>0</v>
      </c>
      <c r="H44" s="44">
        <v>0</v>
      </c>
      <c r="I44" s="43">
        <v>0</v>
      </c>
      <c r="J44" s="45">
        <f t="shared" si="3"/>
        <v>0</v>
      </c>
      <c r="K44" s="45"/>
      <c r="L44" s="45">
        <v>0</v>
      </c>
      <c r="M44" s="46">
        <f t="shared" si="7"/>
        <v>0</v>
      </c>
      <c r="N44" s="47">
        <f t="shared" si="6"/>
        <v>0</v>
      </c>
      <c r="O44" s="38">
        <v>0</v>
      </c>
      <c r="P44" s="59"/>
    </row>
    <row r="45" spans="1:16" ht="12.75">
      <c r="A45" s="48" t="s">
        <v>92</v>
      </c>
      <c r="B45" s="50" t="s">
        <v>93</v>
      </c>
      <c r="C45" s="42">
        <v>1767000000</v>
      </c>
      <c r="D45" s="43"/>
      <c r="E45" s="43">
        <v>763000000</v>
      </c>
      <c r="F45" s="44">
        <f>120000000+366056545</f>
        <v>486056545</v>
      </c>
      <c r="G45" s="44">
        <f t="shared" si="4"/>
        <v>517943455</v>
      </c>
      <c r="H45" s="44">
        <v>299244363</v>
      </c>
      <c r="I45" s="43">
        <v>141034124</v>
      </c>
      <c r="J45" s="45">
        <f t="shared" si="3"/>
        <v>440278487</v>
      </c>
      <c r="K45" s="45">
        <v>613070</v>
      </c>
      <c r="L45" s="45">
        <v>40033299</v>
      </c>
      <c r="M45" s="46">
        <f t="shared" si="7"/>
        <v>480924856</v>
      </c>
      <c r="N45" s="47">
        <f t="shared" si="6"/>
        <v>37018599</v>
      </c>
      <c r="O45" s="38">
        <f t="shared" si="9"/>
        <v>0.928527721235516</v>
      </c>
      <c r="P45" s="6"/>
    </row>
    <row r="46" spans="1:15" ht="12.75">
      <c r="A46" s="48" t="s">
        <v>94</v>
      </c>
      <c r="B46" s="50" t="s">
        <v>95</v>
      </c>
      <c r="C46" s="42">
        <v>96474000</v>
      </c>
      <c r="D46" s="43"/>
      <c r="E46" s="43"/>
      <c r="F46" s="44"/>
      <c r="G46" s="44">
        <f t="shared" si="4"/>
        <v>96474000</v>
      </c>
      <c r="H46" s="44">
        <v>11181979</v>
      </c>
      <c r="I46" s="43">
        <v>6893880</v>
      </c>
      <c r="J46" s="45">
        <f t="shared" si="3"/>
        <v>18075859</v>
      </c>
      <c r="K46" s="45"/>
      <c r="L46" s="45">
        <v>0</v>
      </c>
      <c r="M46" s="46">
        <f t="shared" si="7"/>
        <v>18075859</v>
      </c>
      <c r="N46" s="47">
        <f t="shared" si="6"/>
        <v>78398141</v>
      </c>
      <c r="O46" s="38">
        <f t="shared" si="9"/>
        <v>0.18736508282024172</v>
      </c>
    </row>
    <row r="47" spans="1:15" ht="23.25" customHeight="1">
      <c r="A47" s="48" t="s">
        <v>96</v>
      </c>
      <c r="B47" s="50" t="s">
        <v>97</v>
      </c>
      <c r="C47" s="42">
        <v>242426000</v>
      </c>
      <c r="D47" s="43">
        <v>366056545</v>
      </c>
      <c r="E47" s="43"/>
      <c r="F47" s="44"/>
      <c r="G47" s="44">
        <f t="shared" si="4"/>
        <v>608482545</v>
      </c>
      <c r="H47" s="44">
        <v>144023759</v>
      </c>
      <c r="I47" s="43">
        <v>419535181</v>
      </c>
      <c r="J47" s="45">
        <f t="shared" si="3"/>
        <v>563558940</v>
      </c>
      <c r="K47" s="45">
        <v>17826202</v>
      </c>
      <c r="L47" s="45">
        <v>0</v>
      </c>
      <c r="M47" s="46">
        <f t="shared" si="7"/>
        <v>581385142</v>
      </c>
      <c r="N47" s="47">
        <f t="shared" si="6"/>
        <v>27097403</v>
      </c>
      <c r="O47" s="38">
        <f t="shared" si="9"/>
        <v>0.9554672468049186</v>
      </c>
    </row>
    <row r="48" spans="1:15" ht="12.75">
      <c r="A48" s="48" t="s">
        <v>98</v>
      </c>
      <c r="B48" s="50" t="s">
        <v>99</v>
      </c>
      <c r="C48" s="42">
        <v>16800000</v>
      </c>
      <c r="D48" s="43"/>
      <c r="E48" s="43">
        <v>11000000</v>
      </c>
      <c r="F48" s="44"/>
      <c r="G48" s="44">
        <f t="shared" si="4"/>
        <v>5800000</v>
      </c>
      <c r="H48" s="44">
        <v>868202</v>
      </c>
      <c r="I48" s="43">
        <v>1351410</v>
      </c>
      <c r="J48" s="45">
        <f t="shared" si="3"/>
        <v>2219612</v>
      </c>
      <c r="K48" s="45"/>
      <c r="L48" s="45">
        <v>0</v>
      </c>
      <c r="M48" s="46">
        <f t="shared" si="7"/>
        <v>2219612</v>
      </c>
      <c r="N48" s="47">
        <f t="shared" si="6"/>
        <v>3580388</v>
      </c>
      <c r="O48" s="38">
        <f t="shared" si="9"/>
        <v>0.382691724137931</v>
      </c>
    </row>
    <row r="49" spans="1:16" ht="12.75">
      <c r="A49" s="48" t="s">
        <v>100</v>
      </c>
      <c r="B49" s="50" t="s">
        <v>101</v>
      </c>
      <c r="C49" s="42">
        <v>33075000</v>
      </c>
      <c r="D49" s="43"/>
      <c r="E49" s="43"/>
      <c r="F49" s="44">
        <v>16000000</v>
      </c>
      <c r="G49" s="44">
        <f t="shared" si="4"/>
        <v>17075000</v>
      </c>
      <c r="H49" s="44">
        <v>11718984</v>
      </c>
      <c r="I49" s="43">
        <v>3254401</v>
      </c>
      <c r="J49" s="45">
        <f t="shared" si="3"/>
        <v>14973385</v>
      </c>
      <c r="K49" s="45"/>
      <c r="L49" s="45">
        <v>0</v>
      </c>
      <c r="M49" s="46">
        <f t="shared" si="7"/>
        <v>14973385</v>
      </c>
      <c r="N49" s="47">
        <f t="shared" si="6"/>
        <v>2101615</v>
      </c>
      <c r="O49" s="38">
        <f t="shared" si="9"/>
        <v>0.8769185944363104</v>
      </c>
      <c r="P49" s="6"/>
    </row>
    <row r="50" spans="1:16" ht="12.75">
      <c r="A50" s="48" t="s">
        <v>102</v>
      </c>
      <c r="B50" s="41" t="s">
        <v>103</v>
      </c>
      <c r="C50" s="42">
        <v>5250000</v>
      </c>
      <c r="D50" s="43"/>
      <c r="E50" s="43"/>
      <c r="F50" s="44"/>
      <c r="G50" s="44">
        <f t="shared" si="4"/>
        <v>5250000</v>
      </c>
      <c r="H50" s="44">
        <v>2801999</v>
      </c>
      <c r="I50" s="43">
        <v>429620</v>
      </c>
      <c r="J50" s="45">
        <f t="shared" si="3"/>
        <v>3231619</v>
      </c>
      <c r="K50" s="45"/>
      <c r="L50" s="45">
        <v>0</v>
      </c>
      <c r="M50" s="46">
        <f t="shared" si="7"/>
        <v>3231619</v>
      </c>
      <c r="N50" s="47">
        <f t="shared" si="6"/>
        <v>2018381</v>
      </c>
      <c r="O50" s="38">
        <f t="shared" si="9"/>
        <v>0.6155464761904762</v>
      </c>
      <c r="P50" s="6"/>
    </row>
    <row r="51" spans="1:16" ht="12.75">
      <c r="A51" s="48" t="s">
        <v>104</v>
      </c>
      <c r="B51" s="41" t="s">
        <v>105</v>
      </c>
      <c r="C51" s="42">
        <v>50000000</v>
      </c>
      <c r="D51" s="43"/>
      <c r="E51" s="43">
        <v>18500000</v>
      </c>
      <c r="F51" s="44"/>
      <c r="G51" s="44">
        <f t="shared" si="4"/>
        <v>31500000</v>
      </c>
      <c r="H51" s="44">
        <v>13849336</v>
      </c>
      <c r="I51" s="43">
        <v>4019320</v>
      </c>
      <c r="J51" s="44">
        <f aca="true" t="shared" si="10" ref="J51:J60">H51+I51</f>
        <v>17868656</v>
      </c>
      <c r="K51" s="44">
        <v>982226</v>
      </c>
      <c r="L51" s="45">
        <v>0</v>
      </c>
      <c r="M51" s="46">
        <f t="shared" si="7"/>
        <v>18850882</v>
      </c>
      <c r="N51" s="47">
        <f t="shared" si="6"/>
        <v>12649118</v>
      </c>
      <c r="O51" s="38">
        <f t="shared" si="9"/>
        <v>0.5984406984126984</v>
      </c>
      <c r="P51" s="6"/>
    </row>
    <row r="52" spans="1:16" ht="12.75">
      <c r="A52" s="48" t="s">
        <v>106</v>
      </c>
      <c r="B52" s="41" t="s">
        <v>107</v>
      </c>
      <c r="C52" s="42">
        <v>220000000</v>
      </c>
      <c r="D52" s="43">
        <v>0</v>
      </c>
      <c r="E52" s="43">
        <v>129638</v>
      </c>
      <c r="F52" s="44">
        <v>0</v>
      </c>
      <c r="G52" s="44">
        <f t="shared" si="4"/>
        <v>219870362</v>
      </c>
      <c r="H52" s="44">
        <v>180847301</v>
      </c>
      <c r="I52" s="43">
        <v>6054440</v>
      </c>
      <c r="J52" s="44">
        <f t="shared" si="10"/>
        <v>186901741</v>
      </c>
      <c r="K52" s="44"/>
      <c r="L52" s="45">
        <v>0</v>
      </c>
      <c r="M52" s="46">
        <f t="shared" si="7"/>
        <v>186901741</v>
      </c>
      <c r="N52" s="47">
        <f t="shared" si="6"/>
        <v>32968621</v>
      </c>
      <c r="O52" s="38">
        <f t="shared" si="9"/>
        <v>0.8500542742545719</v>
      </c>
      <c r="P52" s="6"/>
    </row>
    <row r="53" spans="1:16" ht="12.75">
      <c r="A53" s="48" t="s">
        <v>108</v>
      </c>
      <c r="B53" s="60" t="s">
        <v>109</v>
      </c>
      <c r="C53" s="42">
        <v>22000000</v>
      </c>
      <c r="D53" s="43"/>
      <c r="E53" s="43"/>
      <c r="F53" s="44"/>
      <c r="G53" s="44">
        <f t="shared" si="4"/>
        <v>22000000</v>
      </c>
      <c r="H53" s="44">
        <v>9310500</v>
      </c>
      <c r="I53" s="43">
        <v>2674400</v>
      </c>
      <c r="J53" s="44">
        <f t="shared" si="10"/>
        <v>11984900</v>
      </c>
      <c r="K53" s="44"/>
      <c r="L53" s="45">
        <v>0</v>
      </c>
      <c r="M53" s="46">
        <f t="shared" si="7"/>
        <v>11984900</v>
      </c>
      <c r="N53" s="47">
        <f t="shared" si="6"/>
        <v>10015100</v>
      </c>
      <c r="O53" s="38">
        <f t="shared" si="9"/>
        <v>0.5447681818181819</v>
      </c>
      <c r="P53" s="6"/>
    </row>
    <row r="54" spans="1:16" ht="12.75">
      <c r="A54" s="48" t="s">
        <v>110</v>
      </c>
      <c r="B54" s="41" t="s">
        <v>111</v>
      </c>
      <c r="C54" s="42">
        <v>1500000</v>
      </c>
      <c r="D54" s="43"/>
      <c r="E54" s="43"/>
      <c r="F54" s="44"/>
      <c r="G54" s="44">
        <f t="shared" si="4"/>
        <v>1500000</v>
      </c>
      <c r="H54" s="44">
        <v>484100</v>
      </c>
      <c r="I54" s="43">
        <v>0</v>
      </c>
      <c r="J54" s="44">
        <f t="shared" si="10"/>
        <v>484100</v>
      </c>
      <c r="K54" s="44"/>
      <c r="L54" s="45">
        <v>0</v>
      </c>
      <c r="M54" s="46">
        <f t="shared" si="7"/>
        <v>484100</v>
      </c>
      <c r="N54" s="47">
        <f t="shared" si="6"/>
        <v>1015900</v>
      </c>
      <c r="O54" s="38">
        <f t="shared" si="9"/>
        <v>0.3227333333333333</v>
      </c>
      <c r="P54" s="6"/>
    </row>
    <row r="55" spans="1:16" ht="12.75">
      <c r="A55" s="48" t="s">
        <v>112</v>
      </c>
      <c r="B55" s="50" t="s">
        <v>113</v>
      </c>
      <c r="C55" s="42">
        <v>18198000</v>
      </c>
      <c r="D55" s="43"/>
      <c r="E55" s="43"/>
      <c r="F55" s="44"/>
      <c r="G55" s="44">
        <f t="shared" si="4"/>
        <v>18198000</v>
      </c>
      <c r="H55" s="44">
        <v>8438746</v>
      </c>
      <c r="I55" s="43">
        <v>1100022</v>
      </c>
      <c r="J55" s="44">
        <f t="shared" si="10"/>
        <v>9538768</v>
      </c>
      <c r="K55" s="44"/>
      <c r="L55" s="45">
        <v>0</v>
      </c>
      <c r="M55" s="46">
        <f t="shared" si="7"/>
        <v>9538768</v>
      </c>
      <c r="N55" s="47">
        <f t="shared" si="6"/>
        <v>8659232</v>
      </c>
      <c r="O55" s="38">
        <f t="shared" si="9"/>
        <v>0.5241657324980767</v>
      </c>
      <c r="P55" s="6"/>
    </row>
    <row r="56" spans="1:16" ht="12.75">
      <c r="A56" s="48" t="s">
        <v>114</v>
      </c>
      <c r="B56" s="41" t="s">
        <v>115</v>
      </c>
      <c r="C56" s="42">
        <v>10000000</v>
      </c>
      <c r="D56" s="43">
        <v>0</v>
      </c>
      <c r="E56" s="43"/>
      <c r="F56" s="44"/>
      <c r="G56" s="44">
        <f t="shared" si="4"/>
        <v>10000000</v>
      </c>
      <c r="H56" s="44">
        <v>0</v>
      </c>
      <c r="I56" s="43">
        <v>2210625</v>
      </c>
      <c r="J56" s="44">
        <f t="shared" si="10"/>
        <v>2210625</v>
      </c>
      <c r="K56" s="44"/>
      <c r="L56" s="45">
        <v>0</v>
      </c>
      <c r="M56" s="46">
        <f t="shared" si="7"/>
        <v>2210625</v>
      </c>
      <c r="N56" s="47">
        <f t="shared" si="6"/>
        <v>7789375</v>
      </c>
      <c r="O56" s="38">
        <f t="shared" si="9"/>
        <v>0.2210625</v>
      </c>
      <c r="P56" s="6"/>
    </row>
    <row r="57" spans="1:16" ht="12.75">
      <c r="A57" s="48" t="s">
        <v>116</v>
      </c>
      <c r="B57" s="41" t="s">
        <v>117</v>
      </c>
      <c r="C57" s="42">
        <v>533397000</v>
      </c>
      <c r="D57" s="43"/>
      <c r="E57" s="43"/>
      <c r="F57" s="44"/>
      <c r="G57" s="44">
        <f t="shared" si="4"/>
        <v>533397000</v>
      </c>
      <c r="H57" s="44">
        <v>161327101</v>
      </c>
      <c r="I57" s="43">
        <v>69332886</v>
      </c>
      <c r="J57" s="44">
        <f t="shared" si="10"/>
        <v>230659987</v>
      </c>
      <c r="K57" s="44">
        <v>18293200</v>
      </c>
      <c r="L57" s="45">
        <v>0</v>
      </c>
      <c r="M57" s="46">
        <f t="shared" si="7"/>
        <v>248953187</v>
      </c>
      <c r="N57" s="47">
        <f t="shared" si="6"/>
        <v>284443813</v>
      </c>
      <c r="O57" s="38">
        <f t="shared" si="9"/>
        <v>0.46673150955104736</v>
      </c>
      <c r="P57" s="6"/>
    </row>
    <row r="58" spans="1:16" ht="13.5" customHeight="1">
      <c r="A58" s="48" t="s">
        <v>118</v>
      </c>
      <c r="B58" s="50" t="s">
        <v>119</v>
      </c>
      <c r="C58" s="42">
        <v>1190147000</v>
      </c>
      <c r="D58" s="43">
        <v>120000000</v>
      </c>
      <c r="E58" s="43"/>
      <c r="F58" s="44"/>
      <c r="G58" s="44">
        <f t="shared" si="4"/>
        <v>1310147000</v>
      </c>
      <c r="H58" s="44">
        <v>1221453708</v>
      </c>
      <c r="I58" s="43">
        <v>66114</v>
      </c>
      <c r="J58" s="44">
        <f t="shared" si="10"/>
        <v>1221519822</v>
      </c>
      <c r="K58" s="44"/>
      <c r="L58" s="45">
        <v>0</v>
      </c>
      <c r="M58" s="46">
        <f t="shared" si="7"/>
        <v>1221519822</v>
      </c>
      <c r="N58" s="47">
        <f t="shared" si="6"/>
        <v>88627178</v>
      </c>
      <c r="O58" s="38">
        <f t="shared" si="9"/>
        <v>0.9323532565429681</v>
      </c>
      <c r="P58" s="6"/>
    </row>
    <row r="59" spans="1:16" ht="13.5" customHeight="1">
      <c r="A59" s="48" t="s">
        <v>120</v>
      </c>
      <c r="B59" s="50" t="s">
        <v>121</v>
      </c>
      <c r="C59" s="42">
        <v>210000000</v>
      </c>
      <c r="D59" s="43"/>
      <c r="E59" s="43">
        <v>10000000</v>
      </c>
      <c r="F59" s="44"/>
      <c r="G59" s="44">
        <f t="shared" si="4"/>
        <v>200000000</v>
      </c>
      <c r="H59" s="44">
        <v>84062291</v>
      </c>
      <c r="I59" s="43">
        <v>90377162</v>
      </c>
      <c r="J59" s="44">
        <f t="shared" si="10"/>
        <v>174439453</v>
      </c>
      <c r="K59" s="44"/>
      <c r="L59" s="45">
        <v>0</v>
      </c>
      <c r="M59" s="46">
        <f t="shared" si="7"/>
        <v>174439453</v>
      </c>
      <c r="N59" s="47">
        <f t="shared" si="6"/>
        <v>25560547</v>
      </c>
      <c r="O59" s="38">
        <f t="shared" si="9"/>
        <v>0.872197265</v>
      </c>
      <c r="P59" s="6"/>
    </row>
    <row r="60" spans="1:16" ht="24.75" customHeight="1">
      <c r="A60" s="48" t="s">
        <v>122</v>
      </c>
      <c r="B60" s="50" t="s">
        <v>123</v>
      </c>
      <c r="C60" s="42">
        <v>70000000</v>
      </c>
      <c r="D60" s="43"/>
      <c r="E60" s="43">
        <v>64000000</v>
      </c>
      <c r="F60" s="44"/>
      <c r="G60" s="44">
        <f t="shared" si="4"/>
        <v>6000000</v>
      </c>
      <c r="H60" s="44">
        <v>0</v>
      </c>
      <c r="I60" s="43">
        <v>0</v>
      </c>
      <c r="J60" s="44">
        <f t="shared" si="10"/>
        <v>0</v>
      </c>
      <c r="K60" s="44"/>
      <c r="L60" s="45">
        <v>0</v>
      </c>
      <c r="M60" s="46">
        <f t="shared" si="7"/>
        <v>0</v>
      </c>
      <c r="N60" s="47">
        <f t="shared" si="6"/>
        <v>6000000</v>
      </c>
      <c r="O60" s="38">
        <f t="shared" si="9"/>
        <v>0</v>
      </c>
      <c r="P60" s="6"/>
    </row>
    <row r="61" spans="1:16" ht="12.75">
      <c r="A61" s="54" t="s">
        <v>124</v>
      </c>
      <c r="B61" s="61" t="s">
        <v>125</v>
      </c>
      <c r="C61" s="62">
        <f>SUM(C63:C66)</f>
        <v>6124277000</v>
      </c>
      <c r="D61" s="62">
        <f aca="true" t="shared" si="11" ref="D61:M61">SUM(D63:D66)</f>
        <v>0</v>
      </c>
      <c r="E61" s="62">
        <f t="shared" si="11"/>
        <v>2075846518</v>
      </c>
      <c r="F61" s="62">
        <f t="shared" si="11"/>
        <v>0</v>
      </c>
      <c r="G61" s="62">
        <f t="shared" si="11"/>
        <v>4048430482</v>
      </c>
      <c r="H61" s="62">
        <f t="shared" si="11"/>
        <v>146229494</v>
      </c>
      <c r="I61" s="62">
        <f t="shared" si="11"/>
        <v>1846548</v>
      </c>
      <c r="J61" s="62">
        <f t="shared" si="11"/>
        <v>148076042</v>
      </c>
      <c r="K61" s="62"/>
      <c r="L61" s="62">
        <f t="shared" si="11"/>
        <v>0</v>
      </c>
      <c r="M61" s="62">
        <f t="shared" si="11"/>
        <v>148076042</v>
      </c>
      <c r="N61" s="62">
        <f t="shared" si="6"/>
        <v>3900354440</v>
      </c>
      <c r="O61" s="38">
        <f t="shared" si="9"/>
        <v>0.036576160232557005</v>
      </c>
      <c r="P61" s="63"/>
    </row>
    <row r="62" spans="1:16" ht="12.75">
      <c r="A62" s="54"/>
      <c r="B62" s="56"/>
      <c r="C62" s="57"/>
      <c r="D62" s="57"/>
      <c r="E62" s="57"/>
      <c r="F62" s="57"/>
      <c r="G62" s="57"/>
      <c r="H62" s="57"/>
      <c r="I62" s="57"/>
      <c r="J62" s="57"/>
      <c r="K62" s="57"/>
      <c r="L62" s="36"/>
      <c r="M62" s="57"/>
      <c r="N62" s="62"/>
      <c r="O62" s="38"/>
      <c r="P62" s="63"/>
    </row>
    <row r="63" spans="1:15" ht="12.75">
      <c r="A63" s="48" t="s">
        <v>126</v>
      </c>
      <c r="B63" s="50" t="s">
        <v>127</v>
      </c>
      <c r="C63" s="42">
        <v>45277000</v>
      </c>
      <c r="D63" s="43"/>
      <c r="E63" s="43">
        <v>18846518</v>
      </c>
      <c r="F63" s="44"/>
      <c r="G63" s="44">
        <f t="shared" si="4"/>
        <v>26430482</v>
      </c>
      <c r="H63" s="44">
        <v>26430482</v>
      </c>
      <c r="I63" s="43">
        <v>0</v>
      </c>
      <c r="J63" s="44">
        <f>H63+I63</f>
        <v>26430482</v>
      </c>
      <c r="K63" s="44"/>
      <c r="L63" s="45">
        <v>0</v>
      </c>
      <c r="M63" s="46">
        <f>SUM(J63:L63)</f>
        <v>26430482</v>
      </c>
      <c r="N63" s="47">
        <f t="shared" si="6"/>
        <v>0</v>
      </c>
      <c r="O63" s="38">
        <f t="shared" si="9"/>
        <v>1</v>
      </c>
    </row>
    <row r="64" spans="1:15" ht="12.75">
      <c r="A64" s="48" t="s">
        <v>128</v>
      </c>
      <c r="B64" s="41" t="s">
        <v>129</v>
      </c>
      <c r="C64" s="42">
        <v>50000000</v>
      </c>
      <c r="D64" s="43"/>
      <c r="E64" s="43">
        <v>40000000</v>
      </c>
      <c r="F64" s="44"/>
      <c r="G64" s="44">
        <f t="shared" si="4"/>
        <v>10000000</v>
      </c>
      <c r="H64" s="44">
        <v>0</v>
      </c>
      <c r="I64" s="43">
        <v>0</v>
      </c>
      <c r="J64" s="44">
        <f>H64+I64</f>
        <v>0</v>
      </c>
      <c r="K64" s="44"/>
      <c r="L64" s="45">
        <v>0</v>
      </c>
      <c r="M64" s="46">
        <f>SUM(J64:L64)</f>
        <v>0</v>
      </c>
      <c r="N64" s="47">
        <f t="shared" si="6"/>
        <v>10000000</v>
      </c>
      <c r="O64" s="38">
        <f t="shared" si="9"/>
        <v>0</v>
      </c>
    </row>
    <row r="65" spans="1:15" ht="33.75" customHeight="1">
      <c r="A65" s="48" t="s">
        <v>130</v>
      </c>
      <c r="B65" s="50" t="s">
        <v>131</v>
      </c>
      <c r="C65" s="42">
        <v>6000000000</v>
      </c>
      <c r="D65" s="43"/>
      <c r="E65" s="43">
        <v>2000000000</v>
      </c>
      <c r="F65" s="44">
        <v>0</v>
      </c>
      <c r="G65" s="44">
        <f t="shared" si="4"/>
        <v>4000000000</v>
      </c>
      <c r="H65" s="44">
        <v>117559163</v>
      </c>
      <c r="I65" s="43">
        <v>0</v>
      </c>
      <c r="J65" s="44">
        <f>+H65+I65</f>
        <v>117559163</v>
      </c>
      <c r="K65" s="44"/>
      <c r="L65" s="45">
        <v>0</v>
      </c>
      <c r="M65" s="46">
        <f>SUM(J65:L65)</f>
        <v>117559163</v>
      </c>
      <c r="N65" s="47">
        <f t="shared" si="6"/>
        <v>3882440837</v>
      </c>
      <c r="O65" s="38">
        <f t="shared" si="9"/>
        <v>0.02938979075</v>
      </c>
    </row>
    <row r="66" spans="1:16" ht="14.25" customHeight="1">
      <c r="A66" s="48" t="s">
        <v>132</v>
      </c>
      <c r="B66" s="50" t="s">
        <v>133</v>
      </c>
      <c r="C66" s="64">
        <v>29000000</v>
      </c>
      <c r="D66" s="44"/>
      <c r="E66" s="44">
        <v>17000000</v>
      </c>
      <c r="F66" s="44"/>
      <c r="G66" s="44">
        <f t="shared" si="4"/>
        <v>12000000</v>
      </c>
      <c r="H66" s="44">
        <v>2239849</v>
      </c>
      <c r="I66" s="43">
        <v>1846548</v>
      </c>
      <c r="J66" s="44">
        <f>H66+I66</f>
        <v>4086397</v>
      </c>
      <c r="K66" s="44"/>
      <c r="L66" s="45">
        <v>0</v>
      </c>
      <c r="M66" s="46">
        <f>SUM(J66:L66)</f>
        <v>4086397</v>
      </c>
      <c r="N66" s="47">
        <f t="shared" si="6"/>
        <v>7913603</v>
      </c>
      <c r="O66" s="38">
        <f t="shared" si="9"/>
        <v>0.3405330833333333</v>
      </c>
      <c r="P66" s="6"/>
    </row>
    <row r="67" spans="1:16" ht="14.25" customHeight="1">
      <c r="A67" s="48"/>
      <c r="B67" s="50"/>
      <c r="C67" s="64"/>
      <c r="D67" s="44"/>
      <c r="E67" s="44"/>
      <c r="F67" s="44"/>
      <c r="G67" s="44"/>
      <c r="H67" s="44"/>
      <c r="I67" s="43"/>
      <c r="J67" s="44"/>
      <c r="K67" s="44"/>
      <c r="L67" s="65"/>
      <c r="M67" s="43"/>
      <c r="N67" s="66"/>
      <c r="O67" s="38"/>
      <c r="P67" s="6"/>
    </row>
    <row r="68" spans="1:19" s="70" customFormat="1" ht="25.5" customHeight="1">
      <c r="A68" s="67" t="s">
        <v>134</v>
      </c>
      <c r="B68" s="68" t="s">
        <v>135</v>
      </c>
      <c r="C68" s="69">
        <f>+C69+C97</f>
        <v>31058858000</v>
      </c>
      <c r="D68" s="69">
        <f aca="true" t="shared" si="12" ref="D68:N68">+D69+D97</f>
        <v>0</v>
      </c>
      <c r="E68" s="69">
        <f t="shared" si="12"/>
        <v>2661392975</v>
      </c>
      <c r="F68" s="69">
        <f t="shared" si="12"/>
        <v>1589810847</v>
      </c>
      <c r="G68" s="44">
        <f t="shared" si="4"/>
        <v>26807654178</v>
      </c>
      <c r="H68" s="69">
        <f t="shared" si="12"/>
        <v>16650531229</v>
      </c>
      <c r="I68" s="69">
        <f t="shared" si="12"/>
        <v>6368113468</v>
      </c>
      <c r="J68" s="69">
        <f t="shared" si="12"/>
        <v>23018644697</v>
      </c>
      <c r="K68" s="69">
        <f t="shared" si="12"/>
        <v>55100000</v>
      </c>
      <c r="L68" s="69">
        <f t="shared" si="12"/>
        <v>3364080882</v>
      </c>
      <c r="M68" s="69">
        <f t="shared" si="12"/>
        <v>26437825579</v>
      </c>
      <c r="N68" s="69">
        <f t="shared" si="12"/>
        <v>369828597</v>
      </c>
      <c r="O68" s="38">
        <f t="shared" si="9"/>
        <v>0.9862043654941094</v>
      </c>
      <c r="P68" s="63"/>
      <c r="Q68" s="63"/>
      <c r="S68" s="63"/>
    </row>
    <row r="69" spans="1:16" ht="22.5">
      <c r="A69" s="71" t="s">
        <v>136</v>
      </c>
      <c r="B69" s="72" t="s">
        <v>137</v>
      </c>
      <c r="C69" s="69">
        <f>+C70+C75+C80+C85+C90</f>
        <v>30511908000</v>
      </c>
      <c r="D69" s="69">
        <f aca="true" t="shared" si="13" ref="D69:N69">+D70+D75+D80+D85+D90</f>
        <v>0</v>
      </c>
      <c r="E69" s="69">
        <f t="shared" si="13"/>
        <v>2361392975</v>
      </c>
      <c r="F69" s="69">
        <f t="shared" si="13"/>
        <v>1589810847</v>
      </c>
      <c r="G69" s="44">
        <f t="shared" si="4"/>
        <v>26560704178</v>
      </c>
      <c r="H69" s="69">
        <f t="shared" si="13"/>
        <v>16642531229</v>
      </c>
      <c r="I69" s="69">
        <f t="shared" si="13"/>
        <v>6302441468</v>
      </c>
      <c r="J69" s="69">
        <f t="shared" si="13"/>
        <v>22944972697</v>
      </c>
      <c r="K69" s="69">
        <f t="shared" si="13"/>
        <v>0</v>
      </c>
      <c r="L69" s="69">
        <f t="shared" si="13"/>
        <v>3364080882</v>
      </c>
      <c r="M69" s="69">
        <f t="shared" si="13"/>
        <v>26309053579</v>
      </c>
      <c r="N69" s="69">
        <f t="shared" si="13"/>
        <v>251650597</v>
      </c>
      <c r="O69" s="38">
        <f t="shared" si="9"/>
        <v>0.9905254545469303</v>
      </c>
      <c r="P69" s="6"/>
    </row>
    <row r="70" spans="1:16" ht="24.75" customHeight="1">
      <c r="A70" s="73" t="s">
        <v>138</v>
      </c>
      <c r="B70" s="74" t="s">
        <v>139</v>
      </c>
      <c r="C70" s="75">
        <f aca="true" t="shared" si="14" ref="C70:N70">+C71</f>
        <v>4019053000</v>
      </c>
      <c r="D70" s="75">
        <f t="shared" si="14"/>
        <v>0</v>
      </c>
      <c r="E70" s="75">
        <f t="shared" si="14"/>
        <v>16187020</v>
      </c>
      <c r="F70" s="75">
        <f t="shared" si="14"/>
        <v>3971320</v>
      </c>
      <c r="G70" s="44">
        <f t="shared" si="4"/>
        <v>3998894660</v>
      </c>
      <c r="H70" s="75">
        <f t="shared" si="14"/>
        <v>2363246552</v>
      </c>
      <c r="I70" s="75">
        <f t="shared" si="14"/>
        <v>1021757101</v>
      </c>
      <c r="J70" s="75">
        <f t="shared" si="14"/>
        <v>3385003653</v>
      </c>
      <c r="K70" s="75">
        <f t="shared" si="14"/>
        <v>0</v>
      </c>
      <c r="L70" s="75">
        <f t="shared" si="14"/>
        <v>543582332</v>
      </c>
      <c r="M70" s="75">
        <f t="shared" si="14"/>
        <v>3928585985</v>
      </c>
      <c r="N70" s="75">
        <f t="shared" si="14"/>
        <v>70308675</v>
      </c>
      <c r="O70" s="38">
        <f t="shared" si="9"/>
        <v>0.9824179727204917</v>
      </c>
      <c r="P70" s="6"/>
    </row>
    <row r="71" spans="1:16" ht="12.75">
      <c r="A71" s="76" t="s">
        <v>140</v>
      </c>
      <c r="B71" s="77" t="s">
        <v>141</v>
      </c>
      <c r="C71" s="78">
        <f>+C73+C74</f>
        <v>4019053000</v>
      </c>
      <c r="D71" s="78">
        <f aca="true" t="shared" si="15" ref="D71:N71">+D73+D74</f>
        <v>0</v>
      </c>
      <c r="E71" s="78">
        <f t="shared" si="15"/>
        <v>16187020</v>
      </c>
      <c r="F71" s="78">
        <f t="shared" si="15"/>
        <v>3971320</v>
      </c>
      <c r="G71" s="44">
        <f t="shared" si="4"/>
        <v>3998894660</v>
      </c>
      <c r="H71" s="78">
        <f t="shared" si="15"/>
        <v>2363246552</v>
      </c>
      <c r="I71" s="78">
        <f t="shared" si="15"/>
        <v>1021757101</v>
      </c>
      <c r="J71" s="78">
        <f t="shared" si="15"/>
        <v>3385003653</v>
      </c>
      <c r="K71" s="78">
        <f t="shared" si="15"/>
        <v>0</v>
      </c>
      <c r="L71" s="78">
        <f t="shared" si="15"/>
        <v>543582332</v>
      </c>
      <c r="M71" s="78">
        <f t="shared" si="15"/>
        <v>3928585985</v>
      </c>
      <c r="N71" s="78">
        <f t="shared" si="15"/>
        <v>70308675</v>
      </c>
      <c r="O71" s="38">
        <f t="shared" si="9"/>
        <v>0.9824179727204917</v>
      </c>
      <c r="P71" s="6"/>
    </row>
    <row r="72" spans="1:17" ht="57" customHeight="1">
      <c r="A72" s="79"/>
      <c r="B72" s="50" t="s">
        <v>142</v>
      </c>
      <c r="C72" s="42">
        <v>0</v>
      </c>
      <c r="D72" s="44"/>
      <c r="E72" s="44"/>
      <c r="F72" s="42">
        <v>0</v>
      </c>
      <c r="G72" s="44">
        <f t="shared" si="4"/>
        <v>0</v>
      </c>
      <c r="H72" s="64">
        <v>0</v>
      </c>
      <c r="I72" s="43">
        <v>0</v>
      </c>
      <c r="J72" s="44">
        <v>0</v>
      </c>
      <c r="K72" s="44"/>
      <c r="L72" s="45">
        <v>0</v>
      </c>
      <c r="M72" s="43">
        <v>0</v>
      </c>
      <c r="N72" s="44">
        <f>+G72-M72</f>
        <v>0</v>
      </c>
      <c r="O72" s="38"/>
      <c r="P72" s="6"/>
      <c r="Q72" s="80"/>
    </row>
    <row r="73" spans="1:17" ht="14.25" customHeight="1">
      <c r="A73" s="79" t="s">
        <v>143</v>
      </c>
      <c r="B73" s="81" t="s">
        <v>144</v>
      </c>
      <c r="C73" s="42">
        <v>3304053000</v>
      </c>
      <c r="D73" s="44"/>
      <c r="E73" s="44">
        <v>16187020</v>
      </c>
      <c r="F73" s="42">
        <v>3971320</v>
      </c>
      <c r="G73" s="44">
        <f t="shared" si="4"/>
        <v>3283894660</v>
      </c>
      <c r="H73" s="64">
        <v>1718555227</v>
      </c>
      <c r="I73" s="43">
        <v>1021757101</v>
      </c>
      <c r="J73" s="44">
        <f>+H73+I73</f>
        <v>2740312328</v>
      </c>
      <c r="K73" s="44"/>
      <c r="L73" s="45">
        <f>209850377+162001071+171730884</f>
        <v>543582332</v>
      </c>
      <c r="M73" s="46">
        <f>SUM(J73:L73)</f>
        <v>3283894660</v>
      </c>
      <c r="N73" s="47">
        <f>+G73-M73</f>
        <v>0</v>
      </c>
      <c r="O73" s="38">
        <f>M73/G73</f>
        <v>1</v>
      </c>
      <c r="P73" s="6"/>
      <c r="Q73" s="80"/>
    </row>
    <row r="74" spans="1:17" ht="33.75" customHeight="1">
      <c r="A74" s="79" t="s">
        <v>145</v>
      </c>
      <c r="B74" s="81" t="s">
        <v>146</v>
      </c>
      <c r="C74" s="42">
        <v>715000000</v>
      </c>
      <c r="D74" s="44"/>
      <c r="E74" s="44">
        <v>0</v>
      </c>
      <c r="F74" s="42"/>
      <c r="G74" s="44">
        <f t="shared" si="4"/>
        <v>715000000</v>
      </c>
      <c r="H74" s="64">
        <v>644691325</v>
      </c>
      <c r="I74" s="43">
        <v>0</v>
      </c>
      <c r="J74" s="44">
        <f>+H74+I74</f>
        <v>644691325</v>
      </c>
      <c r="K74" s="44"/>
      <c r="L74" s="45">
        <v>0</v>
      </c>
      <c r="M74" s="46">
        <f>SUM(J74:L74)</f>
        <v>644691325</v>
      </c>
      <c r="N74" s="47">
        <f>+G74-M74</f>
        <v>70308675</v>
      </c>
      <c r="O74" s="38">
        <f>M74/G74</f>
        <v>0.9016661888111888</v>
      </c>
      <c r="P74" s="6"/>
      <c r="Q74" s="80"/>
    </row>
    <row r="75" spans="1:16" s="83" customFormat="1" ht="22.5">
      <c r="A75" s="73" t="s">
        <v>147</v>
      </c>
      <c r="B75" s="74" t="s">
        <v>148</v>
      </c>
      <c r="C75" s="75">
        <f aca="true" t="shared" si="16" ref="C75:H75">+C76</f>
        <v>3154200000</v>
      </c>
      <c r="D75" s="75">
        <f t="shared" si="16"/>
        <v>0</v>
      </c>
      <c r="E75" s="75">
        <f t="shared" si="16"/>
        <v>12718372</v>
      </c>
      <c r="F75" s="75">
        <f t="shared" si="16"/>
        <v>0</v>
      </c>
      <c r="G75" s="44">
        <f t="shared" si="4"/>
        <v>3141481628</v>
      </c>
      <c r="H75" s="75">
        <f t="shared" si="16"/>
        <v>1880050864</v>
      </c>
      <c r="I75" s="75">
        <f aca="true" t="shared" si="17" ref="I75:N75">+I76</f>
        <v>802809153</v>
      </c>
      <c r="J75" s="75">
        <f t="shared" si="17"/>
        <v>2682860017</v>
      </c>
      <c r="K75" s="75">
        <f t="shared" si="17"/>
        <v>0</v>
      </c>
      <c r="L75" s="75">
        <f t="shared" si="17"/>
        <v>403379082</v>
      </c>
      <c r="M75" s="75">
        <f t="shared" si="17"/>
        <v>3086239099</v>
      </c>
      <c r="N75" s="75">
        <f t="shared" si="17"/>
        <v>55242529</v>
      </c>
      <c r="O75" s="38">
        <f>M75/G75</f>
        <v>0.9824151354228451</v>
      </c>
      <c r="P75" s="82"/>
    </row>
    <row r="76" spans="1:15" s="83" customFormat="1" ht="12.75">
      <c r="A76" s="76" t="s">
        <v>149</v>
      </c>
      <c r="B76" s="77" t="s">
        <v>141</v>
      </c>
      <c r="C76" s="84">
        <f>SUM(C78:C79)</f>
        <v>3154200000</v>
      </c>
      <c r="D76" s="84">
        <f aca="true" t="shared" si="18" ref="D76:N76">SUM(D78:D79)</f>
        <v>0</v>
      </c>
      <c r="E76" s="84">
        <f t="shared" si="18"/>
        <v>12718372</v>
      </c>
      <c r="F76" s="84">
        <f t="shared" si="18"/>
        <v>0</v>
      </c>
      <c r="G76" s="44">
        <f t="shared" si="4"/>
        <v>3141481628</v>
      </c>
      <c r="H76" s="84">
        <f t="shared" si="18"/>
        <v>1880050864</v>
      </c>
      <c r="I76" s="84">
        <f t="shared" si="18"/>
        <v>802809153</v>
      </c>
      <c r="J76" s="84">
        <f t="shared" si="18"/>
        <v>2682860017</v>
      </c>
      <c r="K76" s="84">
        <f t="shared" si="18"/>
        <v>0</v>
      </c>
      <c r="L76" s="84">
        <f t="shared" si="18"/>
        <v>403379082</v>
      </c>
      <c r="M76" s="84">
        <f t="shared" si="18"/>
        <v>3086239099</v>
      </c>
      <c r="N76" s="84">
        <f t="shared" si="18"/>
        <v>55242529</v>
      </c>
      <c r="O76" s="38">
        <f>M76/G76</f>
        <v>0.9824151354228451</v>
      </c>
    </row>
    <row r="77" spans="1:16" ht="51.75" customHeight="1">
      <c r="A77" s="79"/>
      <c r="B77" s="50" t="s">
        <v>150</v>
      </c>
      <c r="C77" s="42">
        <v>0</v>
      </c>
      <c r="D77" s="44"/>
      <c r="E77" s="44"/>
      <c r="F77" s="42">
        <v>0</v>
      </c>
      <c r="G77" s="44">
        <f t="shared" si="4"/>
        <v>0</v>
      </c>
      <c r="H77" s="44">
        <v>0</v>
      </c>
      <c r="I77" s="43">
        <v>0</v>
      </c>
      <c r="J77" s="44">
        <v>0</v>
      </c>
      <c r="K77" s="44"/>
      <c r="L77" s="85">
        <v>0</v>
      </c>
      <c r="M77" s="43">
        <v>0</v>
      </c>
      <c r="N77" s="44">
        <f>+G77-M77</f>
        <v>0</v>
      </c>
      <c r="O77" s="38">
        <v>0</v>
      </c>
      <c r="P77" s="6"/>
    </row>
    <row r="78" spans="1:16" ht="18" customHeight="1">
      <c r="A78" s="79" t="s">
        <v>151</v>
      </c>
      <c r="B78" s="81" t="s">
        <v>152</v>
      </c>
      <c r="C78" s="42">
        <v>2569200000</v>
      </c>
      <c r="D78" s="44"/>
      <c r="E78" s="44">
        <v>12718372</v>
      </c>
      <c r="F78" s="42"/>
      <c r="G78" s="44">
        <f t="shared" si="4"/>
        <v>2556481628</v>
      </c>
      <c r="H78" s="44">
        <v>1350293393</v>
      </c>
      <c r="I78" s="43">
        <v>802809153</v>
      </c>
      <c r="J78" s="44">
        <f>+H78+I78</f>
        <v>2153102546</v>
      </c>
      <c r="K78" s="44"/>
      <c r="L78" s="45">
        <f>165389475+104072268+133917339</f>
        <v>403379082</v>
      </c>
      <c r="M78" s="46">
        <f>SUM(J78:L78)</f>
        <v>2556481628</v>
      </c>
      <c r="N78" s="47">
        <f>+G78-M78</f>
        <v>0</v>
      </c>
      <c r="O78" s="38"/>
      <c r="P78" s="6"/>
    </row>
    <row r="79" spans="1:16" ht="35.25" customHeight="1">
      <c r="A79" s="79" t="s">
        <v>153</v>
      </c>
      <c r="B79" s="81" t="s">
        <v>154</v>
      </c>
      <c r="C79" s="42">
        <v>585000000</v>
      </c>
      <c r="D79" s="44"/>
      <c r="E79" s="44"/>
      <c r="F79" s="42"/>
      <c r="G79" s="44">
        <f t="shared" si="4"/>
        <v>585000000</v>
      </c>
      <c r="H79" s="44">
        <v>529757471</v>
      </c>
      <c r="I79" s="43">
        <v>0</v>
      </c>
      <c r="J79" s="44">
        <f>+H79+I79</f>
        <v>529757471</v>
      </c>
      <c r="K79" s="44"/>
      <c r="L79" s="45">
        <v>0</v>
      </c>
      <c r="M79" s="46">
        <f>SUM(J79:L79)</f>
        <v>529757471</v>
      </c>
      <c r="N79" s="47">
        <f>+G79-M79</f>
        <v>55242529</v>
      </c>
      <c r="O79" s="38"/>
      <c r="P79" s="6"/>
    </row>
    <row r="80" spans="1:16" ht="12.75">
      <c r="A80" s="73" t="s">
        <v>155</v>
      </c>
      <c r="B80" s="74" t="s">
        <v>156</v>
      </c>
      <c r="C80" s="75">
        <f aca="true" t="shared" si="19" ref="C80:N80">+C81</f>
        <v>10075503000</v>
      </c>
      <c r="D80" s="75">
        <f t="shared" si="19"/>
        <v>0</v>
      </c>
      <c r="E80" s="75">
        <f t="shared" si="19"/>
        <v>2000000000</v>
      </c>
      <c r="F80" s="75">
        <f t="shared" si="19"/>
        <v>1314441620</v>
      </c>
      <c r="G80" s="44">
        <f t="shared" si="4"/>
        <v>6761061380</v>
      </c>
      <c r="H80" s="75">
        <f>+H81</f>
        <v>4438758862</v>
      </c>
      <c r="I80" s="75">
        <f t="shared" si="19"/>
        <v>1346234408</v>
      </c>
      <c r="J80" s="75">
        <f t="shared" si="19"/>
        <v>5784993270</v>
      </c>
      <c r="K80" s="75">
        <f t="shared" si="19"/>
        <v>0</v>
      </c>
      <c r="L80" s="75">
        <f t="shared" si="19"/>
        <v>923941129</v>
      </c>
      <c r="M80" s="75">
        <f t="shared" si="19"/>
        <v>6708934399</v>
      </c>
      <c r="N80" s="75">
        <f t="shared" si="19"/>
        <v>52126979</v>
      </c>
      <c r="O80" s="38">
        <f>M80/G80</f>
        <v>0.9922901186558966</v>
      </c>
      <c r="P80" s="6"/>
    </row>
    <row r="81" spans="1:16" s="83" customFormat="1" ht="12.75">
      <c r="A81" s="76" t="s">
        <v>157</v>
      </c>
      <c r="B81" s="77" t="s">
        <v>158</v>
      </c>
      <c r="C81" s="78">
        <f>SUM(C83:C84)</f>
        <v>10075503000</v>
      </c>
      <c r="D81" s="78">
        <f aca="true" t="shared" si="20" ref="D81:N81">SUM(D83:D84)</f>
        <v>0</v>
      </c>
      <c r="E81" s="78">
        <f t="shared" si="20"/>
        <v>2000000000</v>
      </c>
      <c r="F81" s="78">
        <f t="shared" si="20"/>
        <v>1314441620</v>
      </c>
      <c r="G81" s="44">
        <f t="shared" si="4"/>
        <v>6761061380</v>
      </c>
      <c r="H81" s="78">
        <f t="shared" si="20"/>
        <v>4438758862</v>
      </c>
      <c r="I81" s="78">
        <f>SUM(I83:I84)</f>
        <v>1346234408</v>
      </c>
      <c r="J81" s="78">
        <f t="shared" si="20"/>
        <v>5784993270</v>
      </c>
      <c r="K81" s="78">
        <f t="shared" si="20"/>
        <v>0</v>
      </c>
      <c r="L81" s="78">
        <f t="shared" si="20"/>
        <v>923941129</v>
      </c>
      <c r="M81" s="78">
        <f t="shared" si="20"/>
        <v>6708934399</v>
      </c>
      <c r="N81" s="78">
        <f t="shared" si="20"/>
        <v>52126979</v>
      </c>
      <c r="O81" s="38">
        <f>M81/G81</f>
        <v>0.9922901186558966</v>
      </c>
      <c r="P81" s="82"/>
    </row>
    <row r="82" spans="1:16" ht="58.5" customHeight="1">
      <c r="A82" s="79"/>
      <c r="B82" s="50" t="s">
        <v>159</v>
      </c>
      <c r="C82" s="42">
        <v>0</v>
      </c>
      <c r="D82" s="44"/>
      <c r="E82" s="44"/>
      <c r="F82" s="42">
        <v>0</v>
      </c>
      <c r="G82" s="44">
        <f t="shared" si="4"/>
        <v>0</v>
      </c>
      <c r="H82" s="44">
        <v>0</v>
      </c>
      <c r="I82" s="43">
        <v>0</v>
      </c>
      <c r="J82" s="44">
        <v>0</v>
      </c>
      <c r="K82" s="44"/>
      <c r="L82" s="85">
        <v>0</v>
      </c>
      <c r="M82" s="43">
        <v>0</v>
      </c>
      <c r="N82" s="44">
        <f>+G82-M82</f>
        <v>0</v>
      </c>
      <c r="O82" s="38">
        <v>0</v>
      </c>
      <c r="P82" s="6"/>
    </row>
    <row r="83" spans="1:16" ht="27.75" customHeight="1">
      <c r="A83" s="79" t="s">
        <v>160</v>
      </c>
      <c r="B83" s="81" t="s">
        <v>161</v>
      </c>
      <c r="C83" s="42">
        <v>7125503000</v>
      </c>
      <c r="D83" s="44"/>
      <c r="E83" s="44">
        <v>2000000000</v>
      </c>
      <c r="F83" s="42">
        <v>1314441620</v>
      </c>
      <c r="G83" s="44">
        <f aca="true" t="shared" si="21" ref="G83:G94">+C83+D83-E83-F83</f>
        <v>3811061380</v>
      </c>
      <c r="H83" s="44">
        <f>1810663656-3</f>
        <v>1810663653</v>
      </c>
      <c r="I83" s="43">
        <v>1076456598</v>
      </c>
      <c r="J83" s="44">
        <f>+H83+I83</f>
        <v>2887120251</v>
      </c>
      <c r="K83" s="44"/>
      <c r="L83" s="85">
        <f>320281035+128148295+155278119+119688505+200545172+3</f>
        <v>923941129</v>
      </c>
      <c r="M83" s="46">
        <f>SUM(J83:L83)</f>
        <v>3811061380</v>
      </c>
      <c r="N83" s="47">
        <f>+G83-M83</f>
        <v>0</v>
      </c>
      <c r="O83" s="38">
        <f>M83/G83</f>
        <v>1</v>
      </c>
      <c r="P83" s="6"/>
    </row>
    <row r="84" spans="1:16" ht="34.5" customHeight="1">
      <c r="A84" s="79" t="s">
        <v>162</v>
      </c>
      <c r="B84" s="81" t="s">
        <v>163</v>
      </c>
      <c r="C84" s="42">
        <v>2950000000</v>
      </c>
      <c r="D84" s="44"/>
      <c r="E84" s="44"/>
      <c r="F84" s="42"/>
      <c r="G84" s="44">
        <f t="shared" si="21"/>
        <v>2950000000</v>
      </c>
      <c r="H84" s="44">
        <v>2628095209</v>
      </c>
      <c r="I84" s="43">
        <v>269777810</v>
      </c>
      <c r="J84" s="44">
        <f>+H84+I84</f>
        <v>2897873019</v>
      </c>
      <c r="K84" s="44"/>
      <c r="L84" s="85">
        <v>0</v>
      </c>
      <c r="M84" s="46">
        <f>SUM(J84:L84)</f>
        <v>2897873019</v>
      </c>
      <c r="N84" s="47">
        <f>+G84-M84-2</f>
        <v>52126979</v>
      </c>
      <c r="O84" s="38">
        <f>M84/G84</f>
        <v>0.9823298369491525</v>
      </c>
      <c r="P84" s="6"/>
    </row>
    <row r="85" spans="1:16" ht="22.5">
      <c r="A85" s="73" t="s">
        <v>164</v>
      </c>
      <c r="B85" s="74" t="s">
        <v>165</v>
      </c>
      <c r="C85" s="75">
        <f aca="true" t="shared" si="22" ref="C85:N85">+C86</f>
        <v>12933152000</v>
      </c>
      <c r="D85" s="75">
        <f t="shared" si="22"/>
        <v>0</v>
      </c>
      <c r="E85" s="75">
        <f t="shared" si="22"/>
        <v>32487583</v>
      </c>
      <c r="F85" s="75">
        <f t="shared" si="22"/>
        <v>271397907</v>
      </c>
      <c r="G85" s="44">
        <f t="shared" si="21"/>
        <v>12629266510</v>
      </c>
      <c r="H85" s="75">
        <f t="shared" si="22"/>
        <v>7960474951</v>
      </c>
      <c r="I85" s="75">
        <f t="shared" si="22"/>
        <v>3131640806</v>
      </c>
      <c r="J85" s="75">
        <f t="shared" si="22"/>
        <v>11092115757</v>
      </c>
      <c r="K85" s="75">
        <f t="shared" si="22"/>
        <v>0</v>
      </c>
      <c r="L85" s="75">
        <f t="shared" si="22"/>
        <v>1493178339</v>
      </c>
      <c r="M85" s="75">
        <f t="shared" si="22"/>
        <v>12585294096</v>
      </c>
      <c r="N85" s="75">
        <f t="shared" si="22"/>
        <v>43972414</v>
      </c>
      <c r="O85" s="38">
        <f>M85/G85</f>
        <v>0.9965182131547242</v>
      </c>
      <c r="P85" s="6"/>
    </row>
    <row r="86" spans="1:16" ht="22.5">
      <c r="A86" s="86" t="s">
        <v>166</v>
      </c>
      <c r="B86" s="87" t="s">
        <v>167</v>
      </c>
      <c r="C86" s="88">
        <f>SUM(C88:C89)</f>
        <v>12933152000</v>
      </c>
      <c r="D86" s="88">
        <f aca="true" t="shared" si="23" ref="D86:N86">SUM(D88:D89)</f>
        <v>0</v>
      </c>
      <c r="E86" s="88">
        <f t="shared" si="23"/>
        <v>32487583</v>
      </c>
      <c r="F86" s="88">
        <f t="shared" si="23"/>
        <v>271397907</v>
      </c>
      <c r="G86" s="44">
        <f t="shared" si="21"/>
        <v>12629266510</v>
      </c>
      <c r="H86" s="88">
        <f t="shared" si="23"/>
        <v>7960474951</v>
      </c>
      <c r="I86" s="88">
        <f t="shared" si="23"/>
        <v>3131640806</v>
      </c>
      <c r="J86" s="88">
        <f t="shared" si="23"/>
        <v>11092115757</v>
      </c>
      <c r="K86" s="88">
        <f t="shared" si="23"/>
        <v>0</v>
      </c>
      <c r="L86" s="88">
        <f t="shared" si="23"/>
        <v>1493178339</v>
      </c>
      <c r="M86" s="88">
        <f t="shared" si="23"/>
        <v>12585294096</v>
      </c>
      <c r="N86" s="88">
        <f t="shared" si="23"/>
        <v>43972414</v>
      </c>
      <c r="O86" s="38">
        <f>M86/G86</f>
        <v>0.9965182131547242</v>
      </c>
      <c r="P86" s="6"/>
    </row>
    <row r="87" spans="1:15" ht="66.75" customHeight="1">
      <c r="A87" s="79"/>
      <c r="B87" s="89" t="s">
        <v>168</v>
      </c>
      <c r="C87" s="42">
        <v>0</v>
      </c>
      <c r="D87" s="44">
        <v>0</v>
      </c>
      <c r="E87" s="44"/>
      <c r="F87" s="42"/>
      <c r="G87" s="44">
        <f t="shared" si="21"/>
        <v>0</v>
      </c>
      <c r="H87" s="44">
        <v>0</v>
      </c>
      <c r="I87" s="43">
        <v>0</v>
      </c>
      <c r="J87" s="44">
        <v>0</v>
      </c>
      <c r="K87" s="44"/>
      <c r="L87" s="85">
        <v>0</v>
      </c>
      <c r="M87" s="90">
        <v>0</v>
      </c>
      <c r="N87" s="44">
        <f>+G87-M87</f>
        <v>0</v>
      </c>
      <c r="O87" s="38">
        <v>0</v>
      </c>
    </row>
    <row r="88" spans="1:15" ht="27.75" customHeight="1">
      <c r="A88" s="79" t="s">
        <v>169</v>
      </c>
      <c r="B88" s="89" t="s">
        <v>170</v>
      </c>
      <c r="C88" s="42">
        <v>9683152000</v>
      </c>
      <c r="D88" s="44"/>
      <c r="E88" s="44">
        <v>32487583</v>
      </c>
      <c r="F88" s="42">
        <v>271397907</v>
      </c>
      <c r="G88" s="44">
        <f t="shared" si="21"/>
        <v>9379266510</v>
      </c>
      <c r="H88" s="44">
        <v>4754447365</v>
      </c>
      <c r="I88" s="43">
        <v>3131640806</v>
      </c>
      <c r="J88" s="44">
        <f>+H88+I88</f>
        <v>7886088171</v>
      </c>
      <c r="K88" s="44"/>
      <c r="L88" s="85">
        <f>775751033+717427306</f>
        <v>1493178339</v>
      </c>
      <c r="M88" s="46">
        <f>SUM(J88:L88)</f>
        <v>9379266510</v>
      </c>
      <c r="N88" s="47">
        <f>+G88-M88</f>
        <v>0</v>
      </c>
      <c r="O88" s="38">
        <f>M88/G88</f>
        <v>1</v>
      </c>
    </row>
    <row r="89" spans="1:16" ht="27.75" customHeight="1">
      <c r="A89" s="79" t="s">
        <v>171</v>
      </c>
      <c r="B89" s="89" t="s">
        <v>170</v>
      </c>
      <c r="C89" s="42">
        <v>3250000000</v>
      </c>
      <c r="D89" s="44"/>
      <c r="E89" s="44"/>
      <c r="F89" s="42"/>
      <c r="G89" s="44">
        <f t="shared" si="21"/>
        <v>3250000000</v>
      </c>
      <c r="H89" s="44">
        <v>3206027586</v>
      </c>
      <c r="I89" s="43">
        <v>0</v>
      </c>
      <c r="J89" s="44">
        <f>+H89+I89</f>
        <v>3206027586</v>
      </c>
      <c r="K89" s="44"/>
      <c r="L89" s="85">
        <v>0</v>
      </c>
      <c r="M89" s="46">
        <f>SUM(J89:L89)</f>
        <v>3206027586</v>
      </c>
      <c r="N89" s="47">
        <f>+G89-M89</f>
        <v>43972414</v>
      </c>
      <c r="O89" s="38">
        <f>M89/G89</f>
        <v>0.9864700264615385</v>
      </c>
      <c r="P89" s="39"/>
    </row>
    <row r="90" spans="1:16" s="83" customFormat="1" ht="36.75" customHeight="1">
      <c r="A90" s="73" t="s">
        <v>172</v>
      </c>
      <c r="B90" s="74" t="s">
        <v>173</v>
      </c>
      <c r="C90" s="75">
        <f>+C91</f>
        <v>330000000</v>
      </c>
      <c r="D90" s="75">
        <f>+D91</f>
        <v>0</v>
      </c>
      <c r="E90" s="75">
        <f>+E91</f>
        <v>300000000</v>
      </c>
      <c r="F90" s="91">
        <f>+F91</f>
        <v>0</v>
      </c>
      <c r="G90" s="44">
        <f t="shared" si="21"/>
        <v>30000000</v>
      </c>
      <c r="H90" s="75">
        <f aca="true" t="shared" si="24" ref="H90:N90">+H91</f>
        <v>0</v>
      </c>
      <c r="I90" s="75">
        <f t="shared" si="24"/>
        <v>0</v>
      </c>
      <c r="J90" s="75">
        <f t="shared" si="24"/>
        <v>0</v>
      </c>
      <c r="K90" s="75"/>
      <c r="L90" s="75">
        <f t="shared" si="24"/>
        <v>0</v>
      </c>
      <c r="M90" s="75">
        <f t="shared" si="24"/>
        <v>0</v>
      </c>
      <c r="N90" s="75">
        <f t="shared" si="24"/>
        <v>30000000</v>
      </c>
      <c r="O90" s="38">
        <f>M90/G90</f>
        <v>0</v>
      </c>
      <c r="P90" s="82"/>
    </row>
    <row r="91" spans="1:15" ht="22.5">
      <c r="A91" s="71" t="s">
        <v>174</v>
      </c>
      <c r="B91" s="77" t="s">
        <v>175</v>
      </c>
      <c r="C91" s="92">
        <f>SUM(C94:C96)</f>
        <v>330000000</v>
      </c>
      <c r="D91" s="92">
        <f aca="true" t="shared" si="25" ref="D91:N91">SUM(D94:D96)</f>
        <v>0</v>
      </c>
      <c r="E91" s="92">
        <f t="shared" si="25"/>
        <v>300000000</v>
      </c>
      <c r="F91" s="92">
        <f t="shared" si="25"/>
        <v>0</v>
      </c>
      <c r="G91" s="44">
        <f t="shared" si="21"/>
        <v>30000000</v>
      </c>
      <c r="H91" s="92">
        <f t="shared" si="25"/>
        <v>0</v>
      </c>
      <c r="I91" s="92">
        <f t="shared" si="25"/>
        <v>0</v>
      </c>
      <c r="J91" s="92">
        <f t="shared" si="25"/>
        <v>0</v>
      </c>
      <c r="K91" s="92"/>
      <c r="L91" s="92">
        <f t="shared" si="25"/>
        <v>0</v>
      </c>
      <c r="M91" s="92">
        <f t="shared" si="25"/>
        <v>0</v>
      </c>
      <c r="N91" s="92">
        <f t="shared" si="25"/>
        <v>30000000</v>
      </c>
      <c r="O91" s="38">
        <f>M91/G91</f>
        <v>0</v>
      </c>
    </row>
    <row r="92" spans="1:15" s="83" customFormat="1" ht="54" customHeight="1">
      <c r="A92" s="93"/>
      <c r="B92" s="89" t="s">
        <v>176</v>
      </c>
      <c r="C92" s="94"/>
      <c r="D92" s="94">
        <v>0</v>
      </c>
      <c r="E92" s="94"/>
      <c r="F92" s="42">
        <v>0</v>
      </c>
      <c r="G92" s="44">
        <f t="shared" si="21"/>
        <v>0</v>
      </c>
      <c r="H92" s="44">
        <v>0</v>
      </c>
      <c r="I92" s="95">
        <v>0</v>
      </c>
      <c r="J92" s="44">
        <f>H92+I92</f>
        <v>0</v>
      </c>
      <c r="K92" s="44"/>
      <c r="L92" s="43">
        <f>0-J92</f>
        <v>0</v>
      </c>
      <c r="M92" s="90">
        <f>J92+L92</f>
        <v>0</v>
      </c>
      <c r="N92" s="44">
        <f>+G92-M92</f>
        <v>0</v>
      </c>
      <c r="O92" s="38"/>
    </row>
    <row r="93" spans="1:15" s="83" customFormat="1" ht="45">
      <c r="A93" s="93"/>
      <c r="B93" s="89" t="s">
        <v>177</v>
      </c>
      <c r="C93" s="94"/>
      <c r="D93" s="94"/>
      <c r="E93" s="94"/>
      <c r="F93" s="94">
        <v>0</v>
      </c>
      <c r="G93" s="44">
        <f t="shared" si="21"/>
        <v>0</v>
      </c>
      <c r="H93" s="44">
        <v>0</v>
      </c>
      <c r="I93" s="95">
        <v>0</v>
      </c>
      <c r="J93" s="44">
        <f>H93+I93</f>
        <v>0</v>
      </c>
      <c r="K93" s="44"/>
      <c r="L93" s="43">
        <f>0-J93</f>
        <v>0</v>
      </c>
      <c r="M93" s="90">
        <f>J93+L93</f>
        <v>0</v>
      </c>
      <c r="N93" s="44">
        <f>+C93-M93</f>
        <v>0</v>
      </c>
      <c r="O93" s="38"/>
    </row>
    <row r="94" spans="1:16" s="83" customFormat="1" ht="21.75" customHeight="1">
      <c r="A94" s="93" t="s">
        <v>178</v>
      </c>
      <c r="B94" s="89" t="s">
        <v>179</v>
      </c>
      <c r="C94" s="94">
        <v>30000000</v>
      </c>
      <c r="D94" s="94"/>
      <c r="E94" s="94"/>
      <c r="F94" s="94"/>
      <c r="G94" s="44">
        <f t="shared" si="21"/>
        <v>30000000</v>
      </c>
      <c r="H94" s="44"/>
      <c r="I94" s="95">
        <v>0</v>
      </c>
      <c r="J94" s="44">
        <f>+H94+I94</f>
        <v>0</v>
      </c>
      <c r="K94" s="44"/>
      <c r="L94" s="85">
        <v>0</v>
      </c>
      <c r="M94" s="43">
        <f>+J94+L94</f>
        <v>0</v>
      </c>
      <c r="N94" s="47">
        <f>+G94-M94</f>
        <v>30000000</v>
      </c>
      <c r="O94" s="38">
        <f>M94/G94</f>
        <v>0</v>
      </c>
      <c r="P94" s="82">
        <f>+L88+L141</f>
        <v>1593668898</v>
      </c>
    </row>
    <row r="95" spans="1:16" s="83" customFormat="1" ht="42.75" customHeight="1">
      <c r="A95" s="93"/>
      <c r="B95" s="89" t="s">
        <v>180</v>
      </c>
      <c r="C95" s="94"/>
      <c r="D95" s="94"/>
      <c r="E95" s="94">
        <v>0</v>
      </c>
      <c r="F95" s="94"/>
      <c r="G95" s="64"/>
      <c r="H95" s="44"/>
      <c r="I95" s="95"/>
      <c r="J95" s="44"/>
      <c r="K95" s="44"/>
      <c r="L95" s="43"/>
      <c r="M95" s="90"/>
      <c r="N95" s="44"/>
      <c r="O95" s="38"/>
      <c r="P95" s="82">
        <f>+P94-1554244301</f>
        <v>39424597</v>
      </c>
    </row>
    <row r="96" spans="1:15" s="83" customFormat="1" ht="33" customHeight="1">
      <c r="A96" s="93" t="s">
        <v>181</v>
      </c>
      <c r="B96" s="89" t="s">
        <v>182</v>
      </c>
      <c r="C96" s="94">
        <v>300000000</v>
      </c>
      <c r="D96" s="94"/>
      <c r="E96" s="94">
        <v>300000000</v>
      </c>
      <c r="F96" s="94"/>
      <c r="G96" s="64">
        <f>+C96+D96-E96</f>
        <v>0</v>
      </c>
      <c r="H96" s="44"/>
      <c r="I96" s="95">
        <v>0</v>
      </c>
      <c r="J96" s="44">
        <f>+H96+I96</f>
        <v>0</v>
      </c>
      <c r="K96" s="44"/>
      <c r="L96" s="43">
        <v>0</v>
      </c>
      <c r="M96" s="43">
        <f>+J96+L96</f>
        <v>0</v>
      </c>
      <c r="N96" s="47">
        <f>+G96-M96</f>
        <v>0</v>
      </c>
      <c r="O96" s="38">
        <v>0</v>
      </c>
    </row>
    <row r="97" spans="1:16" ht="33.75">
      <c r="A97" s="71" t="s">
        <v>183</v>
      </c>
      <c r="B97" s="72" t="s">
        <v>184</v>
      </c>
      <c r="C97" s="92">
        <f aca="true" t="shared" si="26" ref="C97:O97">+C98+C114</f>
        <v>546950000</v>
      </c>
      <c r="D97" s="92">
        <f t="shared" si="26"/>
        <v>0</v>
      </c>
      <c r="E97" s="92">
        <f t="shared" si="26"/>
        <v>300000000</v>
      </c>
      <c r="F97" s="92">
        <f t="shared" si="26"/>
        <v>0</v>
      </c>
      <c r="G97" s="92">
        <f t="shared" si="26"/>
        <v>246950000</v>
      </c>
      <c r="H97" s="92">
        <f t="shared" si="26"/>
        <v>8000000</v>
      </c>
      <c r="I97" s="92">
        <f t="shared" si="26"/>
        <v>65672000</v>
      </c>
      <c r="J97" s="92">
        <f t="shared" si="26"/>
        <v>73672000</v>
      </c>
      <c r="K97" s="92">
        <f t="shared" si="26"/>
        <v>55100000</v>
      </c>
      <c r="L97" s="92">
        <f t="shared" si="26"/>
        <v>0</v>
      </c>
      <c r="M97" s="92">
        <f t="shared" si="26"/>
        <v>128772000</v>
      </c>
      <c r="N97" s="92">
        <f t="shared" si="26"/>
        <v>118178000</v>
      </c>
      <c r="O97" s="92">
        <f t="shared" si="26"/>
        <v>0.9524371613098815</v>
      </c>
      <c r="P97" s="6">
        <f>73672000-J97</f>
        <v>0</v>
      </c>
    </row>
    <row r="98" spans="1:16" s="83" customFormat="1" ht="12.75">
      <c r="A98" s="73" t="s">
        <v>185</v>
      </c>
      <c r="B98" s="74">
        <v>110</v>
      </c>
      <c r="C98" s="75">
        <f>+C99+C104</f>
        <v>345950000</v>
      </c>
      <c r="D98" s="75">
        <f aca="true" t="shared" si="27" ref="D98:N98">+D99+D104</f>
        <v>0</v>
      </c>
      <c r="E98" s="75">
        <f t="shared" si="27"/>
        <v>300000000</v>
      </c>
      <c r="F98" s="75">
        <f t="shared" si="27"/>
        <v>0</v>
      </c>
      <c r="G98" s="75">
        <f t="shared" si="27"/>
        <v>45950000</v>
      </c>
      <c r="H98" s="75">
        <f t="shared" si="27"/>
        <v>8000000</v>
      </c>
      <c r="I98" s="75">
        <f t="shared" si="27"/>
        <v>10572000</v>
      </c>
      <c r="J98" s="75">
        <f t="shared" si="27"/>
        <v>18572000</v>
      </c>
      <c r="K98" s="75">
        <f t="shared" si="27"/>
        <v>0</v>
      </c>
      <c r="L98" s="75">
        <f t="shared" si="27"/>
        <v>0</v>
      </c>
      <c r="M98" s="75">
        <f t="shared" si="27"/>
        <v>18572000</v>
      </c>
      <c r="N98" s="75">
        <f t="shared" si="27"/>
        <v>27378000</v>
      </c>
      <c r="O98" s="38">
        <f>M98/G98</f>
        <v>0.4041784548422198</v>
      </c>
      <c r="P98" s="82"/>
    </row>
    <row r="99" spans="1:15" ht="33.75" customHeight="1">
      <c r="A99" s="76" t="s">
        <v>186</v>
      </c>
      <c r="B99" s="96" t="s">
        <v>187</v>
      </c>
      <c r="C99" s="78">
        <f>SUM(C102:C103)</f>
        <v>300000000</v>
      </c>
      <c r="D99" s="78">
        <f aca="true" t="shared" si="28" ref="D99:N99">SUM(D102:D103)</f>
        <v>0</v>
      </c>
      <c r="E99" s="78">
        <f t="shared" si="28"/>
        <v>300000000</v>
      </c>
      <c r="F99" s="78">
        <f t="shared" si="28"/>
        <v>0</v>
      </c>
      <c r="G99" s="78">
        <f t="shared" si="28"/>
        <v>0</v>
      </c>
      <c r="H99" s="78">
        <f t="shared" si="28"/>
        <v>0</v>
      </c>
      <c r="I99" s="78">
        <f t="shared" si="28"/>
        <v>0</v>
      </c>
      <c r="J99" s="78">
        <f t="shared" si="28"/>
        <v>0</v>
      </c>
      <c r="K99" s="78"/>
      <c r="L99" s="78">
        <f t="shared" si="28"/>
        <v>0</v>
      </c>
      <c r="M99" s="78">
        <f t="shared" si="28"/>
        <v>0</v>
      </c>
      <c r="N99" s="78">
        <f t="shared" si="28"/>
        <v>0</v>
      </c>
      <c r="O99" s="38" t="e">
        <f>M99/G99</f>
        <v>#DIV/0!</v>
      </c>
    </row>
    <row r="100" spans="1:15" ht="45.75" customHeight="1">
      <c r="A100" s="79"/>
      <c r="B100" s="97" t="s">
        <v>188</v>
      </c>
      <c r="C100" s="98">
        <v>0</v>
      </c>
      <c r="D100" s="98">
        <v>0</v>
      </c>
      <c r="E100" s="98"/>
      <c r="F100" s="98">
        <v>0</v>
      </c>
      <c r="G100" s="64">
        <f aca="true" t="shared" si="29" ref="G100:G109">+C100+D100-F100</f>
        <v>0</v>
      </c>
      <c r="H100" s="44">
        <v>0</v>
      </c>
      <c r="I100" s="42">
        <v>0</v>
      </c>
      <c r="J100" s="44">
        <v>0</v>
      </c>
      <c r="K100" s="44"/>
      <c r="L100" s="85">
        <v>0</v>
      </c>
      <c r="M100" s="90">
        <f>J100+L100</f>
        <v>0</v>
      </c>
      <c r="N100" s="44">
        <f>+C100-M100</f>
        <v>0</v>
      </c>
      <c r="O100" s="38">
        <v>0</v>
      </c>
    </row>
    <row r="101" spans="1:15" ht="42" customHeight="1">
      <c r="A101" s="79"/>
      <c r="B101" s="99" t="s">
        <v>189</v>
      </c>
      <c r="C101" s="98"/>
      <c r="D101" s="98"/>
      <c r="E101" s="98"/>
      <c r="F101" s="98"/>
      <c r="G101" s="64"/>
      <c r="H101" s="44"/>
      <c r="I101" s="42"/>
      <c r="J101" s="44"/>
      <c r="K101" s="44"/>
      <c r="L101" s="85"/>
      <c r="M101" s="90"/>
      <c r="N101" s="44"/>
      <c r="O101" s="38"/>
    </row>
    <row r="102" spans="1:15" ht="33.75">
      <c r="A102" s="79" t="s">
        <v>190</v>
      </c>
      <c r="B102" s="97" t="s">
        <v>191</v>
      </c>
      <c r="C102" s="42">
        <v>100000000</v>
      </c>
      <c r="D102" s="42">
        <v>0</v>
      </c>
      <c r="E102" s="42">
        <v>100000000</v>
      </c>
      <c r="F102" s="42">
        <v>0</v>
      </c>
      <c r="G102" s="64">
        <f>+C102+D102-E102</f>
        <v>0</v>
      </c>
      <c r="H102" s="44">
        <v>0</v>
      </c>
      <c r="I102" s="42">
        <v>0</v>
      </c>
      <c r="J102" s="44">
        <f>H102+I102</f>
        <v>0</v>
      </c>
      <c r="K102" s="44"/>
      <c r="L102" s="43">
        <f>0-J102</f>
        <v>0</v>
      </c>
      <c r="M102" s="90">
        <f>J102+L102</f>
        <v>0</v>
      </c>
      <c r="N102" s="47">
        <f>+G102-M102</f>
        <v>0</v>
      </c>
      <c r="O102" s="38">
        <v>0</v>
      </c>
    </row>
    <row r="103" spans="1:15" ht="18.75" customHeight="1">
      <c r="A103" s="79" t="s">
        <v>192</v>
      </c>
      <c r="B103" s="97" t="s">
        <v>193</v>
      </c>
      <c r="C103" s="42">
        <v>200000000</v>
      </c>
      <c r="D103" s="42"/>
      <c r="E103" s="42">
        <v>200000000</v>
      </c>
      <c r="F103" s="42"/>
      <c r="G103" s="64">
        <f>+C103+D103-E103</f>
        <v>0</v>
      </c>
      <c r="H103" s="44"/>
      <c r="I103" s="42"/>
      <c r="J103" s="44"/>
      <c r="K103" s="44"/>
      <c r="L103" s="43"/>
      <c r="M103" s="90"/>
      <c r="N103" s="47">
        <f>+G103-M103</f>
        <v>0</v>
      </c>
      <c r="O103" s="38">
        <v>0</v>
      </c>
    </row>
    <row r="104" spans="1:15" ht="25.5">
      <c r="A104" s="73" t="s">
        <v>194</v>
      </c>
      <c r="B104" s="100" t="s">
        <v>195</v>
      </c>
      <c r="C104" s="101">
        <f>SUM(C107:C109)+C111</f>
        <v>45950000</v>
      </c>
      <c r="D104" s="101">
        <f aca="true" t="shared" si="30" ref="D104:N104">SUM(D107:D109)+D111</f>
        <v>0</v>
      </c>
      <c r="E104" s="101"/>
      <c r="F104" s="101">
        <f t="shared" si="30"/>
        <v>0</v>
      </c>
      <c r="G104" s="101">
        <f t="shared" si="30"/>
        <v>45950000</v>
      </c>
      <c r="H104" s="101">
        <f t="shared" si="30"/>
        <v>8000000</v>
      </c>
      <c r="I104" s="101">
        <f t="shared" si="30"/>
        <v>10572000</v>
      </c>
      <c r="J104" s="101">
        <f t="shared" si="30"/>
        <v>18572000</v>
      </c>
      <c r="K104" s="101">
        <f t="shared" si="30"/>
        <v>0</v>
      </c>
      <c r="L104" s="101">
        <f t="shared" si="30"/>
        <v>0</v>
      </c>
      <c r="M104" s="101">
        <f t="shared" si="30"/>
        <v>18572000</v>
      </c>
      <c r="N104" s="101">
        <f t="shared" si="30"/>
        <v>27378000</v>
      </c>
      <c r="O104" s="38">
        <f>M104/G104</f>
        <v>0.4041784548422198</v>
      </c>
    </row>
    <row r="105" spans="1:15" ht="82.5" customHeight="1">
      <c r="A105" s="79"/>
      <c r="B105" s="97" t="s">
        <v>196</v>
      </c>
      <c r="C105" s="42">
        <v>0</v>
      </c>
      <c r="D105" s="42"/>
      <c r="E105" s="42"/>
      <c r="F105" s="42"/>
      <c r="G105" s="64">
        <f t="shared" si="29"/>
        <v>0</v>
      </c>
      <c r="H105" s="44">
        <v>0</v>
      </c>
      <c r="I105" s="42">
        <v>0</v>
      </c>
      <c r="J105" s="44">
        <f>+H105+I105</f>
        <v>0</v>
      </c>
      <c r="K105" s="44"/>
      <c r="L105" s="85">
        <v>0</v>
      </c>
      <c r="M105" s="90">
        <f>J105+L105</f>
        <v>0</v>
      </c>
      <c r="N105" s="44">
        <f>+G105-M105</f>
        <v>0</v>
      </c>
      <c r="O105" s="38">
        <v>0</v>
      </c>
    </row>
    <row r="106" spans="1:15" ht="46.5" customHeight="1">
      <c r="A106" s="79"/>
      <c r="B106" s="97" t="s">
        <v>197</v>
      </c>
      <c r="C106" s="42"/>
      <c r="D106" s="42"/>
      <c r="E106" s="42"/>
      <c r="F106" s="42"/>
      <c r="G106" s="64"/>
      <c r="H106" s="44"/>
      <c r="I106" s="42"/>
      <c r="J106" s="44"/>
      <c r="K106" s="44"/>
      <c r="L106" s="85"/>
      <c r="M106" s="90"/>
      <c r="N106" s="44"/>
      <c r="O106" s="38"/>
    </row>
    <row r="107" spans="1:16" ht="27" customHeight="1">
      <c r="A107" s="79" t="s">
        <v>198</v>
      </c>
      <c r="B107" s="102" t="s">
        <v>199</v>
      </c>
      <c r="C107" s="42">
        <v>15750000</v>
      </c>
      <c r="D107" s="42"/>
      <c r="E107" s="42"/>
      <c r="F107" s="42"/>
      <c r="G107" s="64">
        <f t="shared" si="29"/>
        <v>15750000</v>
      </c>
      <c r="H107" s="44">
        <v>0</v>
      </c>
      <c r="I107" s="42">
        <v>0</v>
      </c>
      <c r="J107" s="44">
        <f>+H107+I107</f>
        <v>0</v>
      </c>
      <c r="K107" s="44"/>
      <c r="L107" s="85">
        <v>0</v>
      </c>
      <c r="M107" s="90">
        <f>+J107+L107</f>
        <v>0</v>
      </c>
      <c r="N107" s="44">
        <f>+G107-M107</f>
        <v>15750000</v>
      </c>
      <c r="O107" s="38">
        <f>M107/G107</f>
        <v>0</v>
      </c>
      <c r="P107" s="80"/>
    </row>
    <row r="108" spans="1:16" ht="27" customHeight="1">
      <c r="A108" s="79" t="s">
        <v>200</v>
      </c>
      <c r="B108" s="102" t="s">
        <v>201</v>
      </c>
      <c r="C108" s="42">
        <v>7350000</v>
      </c>
      <c r="D108" s="42"/>
      <c r="E108" s="42"/>
      <c r="F108" s="42"/>
      <c r="G108" s="64">
        <f t="shared" si="29"/>
        <v>7350000</v>
      </c>
      <c r="H108" s="44">
        <v>0</v>
      </c>
      <c r="I108" s="42">
        <v>7000000</v>
      </c>
      <c r="J108" s="44">
        <f>+H108+I108</f>
        <v>7000000</v>
      </c>
      <c r="K108" s="44"/>
      <c r="L108" s="85">
        <v>0</v>
      </c>
      <c r="M108" s="90">
        <f>+J108+L108</f>
        <v>7000000</v>
      </c>
      <c r="N108" s="44">
        <f>+G108-M108</f>
        <v>350000</v>
      </c>
      <c r="O108" s="38"/>
      <c r="P108" s="80"/>
    </row>
    <row r="109" spans="1:15" ht="27" customHeight="1">
      <c r="A109" s="79" t="s">
        <v>202</v>
      </c>
      <c r="B109" s="102" t="s">
        <v>203</v>
      </c>
      <c r="C109" s="42">
        <v>12600000</v>
      </c>
      <c r="D109" s="42"/>
      <c r="E109" s="42"/>
      <c r="F109" s="42"/>
      <c r="G109" s="64">
        <f t="shared" si="29"/>
        <v>12600000</v>
      </c>
      <c r="H109" s="44">
        <v>8000000</v>
      </c>
      <c r="I109" s="42">
        <v>1000000</v>
      </c>
      <c r="J109" s="44">
        <f>+H109+I109</f>
        <v>9000000</v>
      </c>
      <c r="K109" s="44"/>
      <c r="L109" s="43"/>
      <c r="M109" s="90">
        <f>+J109+L109</f>
        <v>9000000</v>
      </c>
      <c r="N109" s="44">
        <f>+G109-M109</f>
        <v>3600000</v>
      </c>
      <c r="O109" s="38">
        <f>M109/G109</f>
        <v>0.7142857142857143</v>
      </c>
    </row>
    <row r="110" spans="1:15" ht="78" customHeight="1">
      <c r="A110" s="79"/>
      <c r="B110" s="102" t="s">
        <v>204</v>
      </c>
      <c r="C110" s="42"/>
      <c r="D110" s="42"/>
      <c r="E110" s="42"/>
      <c r="F110" s="42"/>
      <c r="G110" s="64"/>
      <c r="H110" s="44"/>
      <c r="I110" s="42"/>
      <c r="J110" s="44"/>
      <c r="K110" s="44"/>
      <c r="L110" s="43"/>
      <c r="M110" s="90"/>
      <c r="N110" s="44"/>
      <c r="O110" s="38"/>
    </row>
    <row r="111" spans="1:15" ht="36.75" customHeight="1">
      <c r="A111" s="79"/>
      <c r="B111" s="102" t="s">
        <v>205</v>
      </c>
      <c r="C111" s="101">
        <f>SUM(C112:C113)</f>
        <v>10250000</v>
      </c>
      <c r="D111" s="101">
        <f aca="true" t="shared" si="31" ref="D111:N111">SUM(D112:D113)</f>
        <v>0</v>
      </c>
      <c r="E111" s="101"/>
      <c r="F111" s="101">
        <f t="shared" si="31"/>
        <v>0</v>
      </c>
      <c r="G111" s="101">
        <f t="shared" si="31"/>
        <v>10250000</v>
      </c>
      <c r="H111" s="101">
        <f t="shared" si="31"/>
        <v>0</v>
      </c>
      <c r="I111" s="101">
        <f t="shared" si="31"/>
        <v>2572000</v>
      </c>
      <c r="J111" s="101">
        <f t="shared" si="31"/>
        <v>2572000</v>
      </c>
      <c r="K111" s="101">
        <f t="shared" si="31"/>
        <v>0</v>
      </c>
      <c r="L111" s="101">
        <f t="shared" si="31"/>
        <v>0</v>
      </c>
      <c r="M111" s="101">
        <f t="shared" si="31"/>
        <v>2572000</v>
      </c>
      <c r="N111" s="101">
        <f t="shared" si="31"/>
        <v>7678000</v>
      </c>
      <c r="O111" s="103">
        <f>M111/G111</f>
        <v>0.2509268292682927</v>
      </c>
    </row>
    <row r="112" spans="1:15" ht="36.75" customHeight="1">
      <c r="A112" s="79" t="s">
        <v>206</v>
      </c>
      <c r="B112" s="102" t="s">
        <v>207</v>
      </c>
      <c r="C112" s="42">
        <v>5000000</v>
      </c>
      <c r="D112" s="42"/>
      <c r="E112" s="42"/>
      <c r="F112" s="42"/>
      <c r="G112" s="64">
        <f>+C112+D112-F112</f>
        <v>5000000</v>
      </c>
      <c r="H112" s="44"/>
      <c r="I112" s="42">
        <v>2572000</v>
      </c>
      <c r="J112" s="44">
        <f>+H112+I112</f>
        <v>2572000</v>
      </c>
      <c r="K112" s="44"/>
      <c r="L112" s="85">
        <v>0</v>
      </c>
      <c r="M112" s="90">
        <f>+J112+L112</f>
        <v>2572000</v>
      </c>
      <c r="N112" s="44">
        <f>+G112-M112</f>
        <v>2428000</v>
      </c>
      <c r="O112" s="103">
        <f>M112/G112</f>
        <v>0.5144</v>
      </c>
    </row>
    <row r="113" spans="1:15" ht="18" customHeight="1">
      <c r="A113" s="79" t="s">
        <v>208</v>
      </c>
      <c r="B113" s="102" t="s">
        <v>209</v>
      </c>
      <c r="C113" s="42">
        <v>5250000</v>
      </c>
      <c r="D113" s="42"/>
      <c r="E113" s="42"/>
      <c r="F113" s="42"/>
      <c r="G113" s="64">
        <f>+C113+D113-F113</f>
        <v>5250000</v>
      </c>
      <c r="H113" s="44"/>
      <c r="I113" s="42">
        <v>0</v>
      </c>
      <c r="J113" s="44"/>
      <c r="K113" s="44"/>
      <c r="L113" s="101">
        <v>0</v>
      </c>
      <c r="M113" s="90">
        <f>+J113+L113</f>
        <v>0</v>
      </c>
      <c r="N113" s="47">
        <f>+G113-M113</f>
        <v>5250000</v>
      </c>
      <c r="O113" s="103">
        <f>M113/G113</f>
        <v>0</v>
      </c>
    </row>
    <row r="114" spans="1:15" s="83" customFormat="1" ht="33.75">
      <c r="A114" s="73" t="s">
        <v>210</v>
      </c>
      <c r="B114" s="74" t="s">
        <v>211</v>
      </c>
      <c r="C114" s="75">
        <f>+C115</f>
        <v>201000000</v>
      </c>
      <c r="D114" s="104">
        <v>0</v>
      </c>
      <c r="E114" s="104"/>
      <c r="F114" s="75"/>
      <c r="G114" s="75">
        <f aca="true" t="shared" si="32" ref="G114:N114">+G115</f>
        <v>201000000</v>
      </c>
      <c r="H114" s="75">
        <f>+H115</f>
        <v>0</v>
      </c>
      <c r="I114" s="75">
        <f>+I115</f>
        <v>55100000</v>
      </c>
      <c r="J114" s="75">
        <f t="shared" si="32"/>
        <v>55100000</v>
      </c>
      <c r="K114" s="75">
        <f t="shared" si="32"/>
        <v>55100000</v>
      </c>
      <c r="L114" s="75">
        <f t="shared" si="32"/>
        <v>0</v>
      </c>
      <c r="M114" s="75">
        <f t="shared" si="32"/>
        <v>110200000</v>
      </c>
      <c r="N114" s="75">
        <f t="shared" si="32"/>
        <v>90800000</v>
      </c>
      <c r="O114" s="38">
        <f>M114/G114</f>
        <v>0.5482587064676617</v>
      </c>
    </row>
    <row r="115" spans="1:15" ht="22.5">
      <c r="A115" s="76" t="s">
        <v>212</v>
      </c>
      <c r="B115" s="96" t="s">
        <v>213</v>
      </c>
      <c r="C115" s="78">
        <f>SUM(C118)</f>
        <v>201000000</v>
      </c>
      <c r="D115" s="78">
        <f aca="true" t="shared" si="33" ref="D115:N115">SUM(D118)</f>
        <v>0</v>
      </c>
      <c r="E115" s="78"/>
      <c r="F115" s="78">
        <f t="shared" si="33"/>
        <v>0</v>
      </c>
      <c r="G115" s="78">
        <f t="shared" si="33"/>
        <v>201000000</v>
      </c>
      <c r="H115" s="78">
        <f t="shared" si="33"/>
        <v>0</v>
      </c>
      <c r="I115" s="78">
        <f t="shared" si="33"/>
        <v>55100000</v>
      </c>
      <c r="J115" s="78">
        <f t="shared" si="33"/>
        <v>55100000</v>
      </c>
      <c r="K115" s="78">
        <f t="shared" si="33"/>
        <v>55100000</v>
      </c>
      <c r="L115" s="78">
        <f t="shared" si="33"/>
        <v>0</v>
      </c>
      <c r="M115" s="78">
        <f t="shared" si="33"/>
        <v>110200000</v>
      </c>
      <c r="N115" s="78">
        <f t="shared" si="33"/>
        <v>90800000</v>
      </c>
      <c r="O115" s="105">
        <f>M115/G115</f>
        <v>0.5482587064676617</v>
      </c>
    </row>
    <row r="116" spans="1:15" ht="81.75" customHeight="1">
      <c r="A116" s="106"/>
      <c r="B116" s="102" t="s">
        <v>214</v>
      </c>
      <c r="C116" s="107">
        <v>0</v>
      </c>
      <c r="D116" s="98">
        <v>0</v>
      </c>
      <c r="E116" s="98"/>
      <c r="F116" s="108"/>
      <c r="G116" s="109">
        <f>+C116+D116-F116</f>
        <v>0</v>
      </c>
      <c r="H116" s="98">
        <v>0</v>
      </c>
      <c r="I116" s="107">
        <v>0</v>
      </c>
      <c r="J116" s="98">
        <f>H116+I116</f>
        <v>0</v>
      </c>
      <c r="K116" s="98"/>
      <c r="L116" s="110">
        <f>0-J116</f>
        <v>0</v>
      </c>
      <c r="M116" s="111">
        <f>J116+L116</f>
        <v>0</v>
      </c>
      <c r="N116" s="98">
        <f>+C116-M116</f>
        <v>0</v>
      </c>
      <c r="O116" s="103">
        <v>0</v>
      </c>
    </row>
    <row r="117" spans="1:15" ht="66" customHeight="1">
      <c r="A117" s="112"/>
      <c r="B117" s="81" t="s">
        <v>215</v>
      </c>
      <c r="C117" s="107"/>
      <c r="D117" s="98"/>
      <c r="E117" s="98"/>
      <c r="F117" s="108"/>
      <c r="G117" s="109"/>
      <c r="H117" s="98"/>
      <c r="I117" s="107"/>
      <c r="J117" s="98"/>
      <c r="K117" s="98"/>
      <c r="L117" s="110"/>
      <c r="M117" s="111"/>
      <c r="N117" s="98"/>
      <c r="O117" s="103"/>
    </row>
    <row r="118" spans="1:16" ht="30" customHeight="1">
      <c r="A118" s="112" t="s">
        <v>216</v>
      </c>
      <c r="B118" s="81" t="s">
        <v>217</v>
      </c>
      <c r="C118" s="107">
        <v>201000000</v>
      </c>
      <c r="D118" s="98"/>
      <c r="E118" s="98"/>
      <c r="F118" s="108"/>
      <c r="G118" s="64">
        <f>+C118+D118-F118</f>
        <v>201000000</v>
      </c>
      <c r="H118" s="98"/>
      <c r="I118" s="107">
        <v>55100000</v>
      </c>
      <c r="J118" s="107">
        <f>+H118+I118</f>
        <v>55100000</v>
      </c>
      <c r="K118" s="107">
        <v>55100000</v>
      </c>
      <c r="L118" s="110"/>
      <c r="M118" s="111">
        <f>+J118+K118</f>
        <v>110200000</v>
      </c>
      <c r="N118" s="44">
        <f>+G118-M118</f>
        <v>90800000</v>
      </c>
      <c r="O118" s="31">
        <f>M118/G118</f>
        <v>0.5482587064676617</v>
      </c>
      <c r="P118" s="6"/>
    </row>
    <row r="119" spans="1:16" s="118" customFormat="1" ht="12.75">
      <c r="A119" s="113"/>
      <c r="B119" s="114" t="s">
        <v>218</v>
      </c>
      <c r="C119" s="115">
        <f aca="true" t="shared" si="34" ref="C119:I119">+C12+C68</f>
        <v>46903579000</v>
      </c>
      <c r="D119" s="115">
        <f t="shared" si="34"/>
        <v>641656545</v>
      </c>
      <c r="E119" s="115">
        <f t="shared" si="34"/>
        <v>5660406131</v>
      </c>
      <c r="F119" s="115">
        <f t="shared" si="34"/>
        <v>2231467392</v>
      </c>
      <c r="G119" s="115">
        <f t="shared" si="34"/>
        <v>39653362022</v>
      </c>
      <c r="H119" s="115">
        <f t="shared" si="34"/>
        <v>22787013715</v>
      </c>
      <c r="I119" s="115">
        <f t="shared" si="34"/>
        <v>7840893887</v>
      </c>
      <c r="J119" s="115">
        <f>+J12+J68</f>
        <v>30627907602</v>
      </c>
      <c r="K119" s="115">
        <f>+K12+K68</f>
        <v>372105810</v>
      </c>
      <c r="L119" s="115">
        <f>+L12+L68</f>
        <v>3408114181</v>
      </c>
      <c r="M119" s="115">
        <f>+M12+M68</f>
        <v>34408127593</v>
      </c>
      <c r="N119" s="115">
        <f>+N12+N68</f>
        <v>5245234427</v>
      </c>
      <c r="O119" s="116">
        <f>M119/G119</f>
        <v>0.8677228320239302</v>
      </c>
      <c r="P119" s="117"/>
    </row>
    <row r="120" spans="1:15" s="118" customFormat="1" ht="30.75" customHeight="1">
      <c r="A120" s="119">
        <v>2</v>
      </c>
      <c r="B120" s="119" t="s">
        <v>219</v>
      </c>
      <c r="C120" s="107">
        <v>0</v>
      </c>
      <c r="D120" s="115">
        <f>+D122+D129+D136</f>
        <v>3589810847</v>
      </c>
      <c r="E120" s="115">
        <f>+E122+E129+E136</f>
        <v>1318412940</v>
      </c>
      <c r="F120" s="115">
        <f aca="true" t="shared" si="35" ref="F120:N120">+F122+F129+F136</f>
        <v>0</v>
      </c>
      <c r="G120" s="115">
        <f t="shared" si="35"/>
        <v>2271397907</v>
      </c>
      <c r="H120" s="115">
        <f t="shared" si="35"/>
        <v>0</v>
      </c>
      <c r="I120" s="115">
        <f t="shared" si="35"/>
        <v>2167718467</v>
      </c>
      <c r="J120" s="115">
        <f t="shared" si="35"/>
        <v>2167718467</v>
      </c>
      <c r="K120" s="115">
        <f t="shared" si="35"/>
        <v>0</v>
      </c>
      <c r="L120" s="115">
        <f t="shared" si="35"/>
        <v>100490559</v>
      </c>
      <c r="M120" s="115">
        <f t="shared" si="35"/>
        <v>2268209026</v>
      </c>
      <c r="N120" s="115">
        <f t="shared" si="35"/>
        <v>3188881</v>
      </c>
      <c r="O120" s="31">
        <f>M120/G120</f>
        <v>0.9985960711726587</v>
      </c>
    </row>
    <row r="121" spans="1:16" s="118" customFormat="1" ht="12.75">
      <c r="A121" s="119" t="s">
        <v>220</v>
      </c>
      <c r="B121" s="119" t="s">
        <v>221</v>
      </c>
      <c r="C121" s="107">
        <v>0</v>
      </c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20"/>
      <c r="P121" s="117"/>
    </row>
    <row r="122" spans="1:16" s="118" customFormat="1" ht="24.75" customHeight="1">
      <c r="A122" s="119"/>
      <c r="B122" s="119" t="s">
        <v>222</v>
      </c>
      <c r="C122" s="107">
        <v>0</v>
      </c>
      <c r="D122" s="115">
        <f>+D125</f>
        <v>3971320</v>
      </c>
      <c r="E122" s="115">
        <f>+E125</f>
        <v>3971320</v>
      </c>
      <c r="F122" s="115">
        <f aca="true" t="shared" si="36" ref="F122:N122">+F125</f>
        <v>0</v>
      </c>
      <c r="G122" s="115">
        <f t="shared" si="36"/>
        <v>0</v>
      </c>
      <c r="H122" s="115">
        <f t="shared" si="36"/>
        <v>0</v>
      </c>
      <c r="I122" s="115">
        <f t="shared" si="36"/>
        <v>0</v>
      </c>
      <c r="J122" s="115">
        <f t="shared" si="36"/>
        <v>0</v>
      </c>
      <c r="K122" s="115"/>
      <c r="L122" s="115">
        <f t="shared" si="36"/>
        <v>0</v>
      </c>
      <c r="M122" s="115">
        <f t="shared" si="36"/>
        <v>0</v>
      </c>
      <c r="N122" s="115">
        <f t="shared" si="36"/>
        <v>0</v>
      </c>
      <c r="O122" s="31">
        <v>0</v>
      </c>
      <c r="P122" s="117"/>
    </row>
    <row r="123" spans="1:15" ht="86.25">
      <c r="A123" s="102"/>
      <c r="B123" s="102" t="s">
        <v>223</v>
      </c>
      <c r="C123" s="107">
        <v>0</v>
      </c>
      <c r="D123" s="42"/>
      <c r="E123" s="42"/>
      <c r="F123" s="42"/>
      <c r="G123" s="121"/>
      <c r="H123" s="121"/>
      <c r="I123" s="42"/>
      <c r="J123" s="42"/>
      <c r="K123" s="42"/>
      <c r="L123" s="42"/>
      <c r="M123" s="42"/>
      <c r="N123" s="42"/>
      <c r="O123" s="121"/>
    </row>
    <row r="124" spans="1:15" ht="75.75">
      <c r="A124" s="102" t="s">
        <v>224</v>
      </c>
      <c r="B124" s="102" t="s">
        <v>225</v>
      </c>
      <c r="C124" s="107">
        <v>0</v>
      </c>
      <c r="D124" s="42"/>
      <c r="E124" s="42"/>
      <c r="F124" s="121"/>
      <c r="G124" s="121"/>
      <c r="H124" s="121"/>
      <c r="I124" s="42"/>
      <c r="J124" s="42"/>
      <c r="K124" s="42"/>
      <c r="L124" s="42"/>
      <c r="M124" s="42"/>
      <c r="N124" s="42"/>
      <c r="O124" s="121"/>
    </row>
    <row r="125" spans="1:15" ht="22.5">
      <c r="A125" s="119"/>
      <c r="B125" s="119" t="s">
        <v>226</v>
      </c>
      <c r="C125" s="107">
        <v>0</v>
      </c>
      <c r="D125" s="101">
        <f>+D127</f>
        <v>3971320</v>
      </c>
      <c r="E125" s="101">
        <f>+E127</f>
        <v>3971320</v>
      </c>
      <c r="F125" s="101">
        <f aca="true" t="shared" si="37" ref="F125:N125">+F127</f>
        <v>0</v>
      </c>
      <c r="G125" s="101">
        <f t="shared" si="37"/>
        <v>0</v>
      </c>
      <c r="H125" s="101">
        <f t="shared" si="37"/>
        <v>0</v>
      </c>
      <c r="I125" s="101">
        <f t="shared" si="37"/>
        <v>0</v>
      </c>
      <c r="J125" s="101">
        <f t="shared" si="37"/>
        <v>0</v>
      </c>
      <c r="K125" s="101"/>
      <c r="L125" s="101">
        <f t="shared" si="37"/>
        <v>0</v>
      </c>
      <c r="M125" s="101">
        <f t="shared" si="37"/>
        <v>0</v>
      </c>
      <c r="N125" s="101">
        <f t="shared" si="37"/>
        <v>0</v>
      </c>
      <c r="O125" s="31">
        <v>0</v>
      </c>
    </row>
    <row r="126" spans="1:15" ht="105.75">
      <c r="A126" s="102"/>
      <c r="B126" s="102" t="s">
        <v>227</v>
      </c>
      <c r="C126" s="107">
        <v>0</v>
      </c>
      <c r="D126" s="42"/>
      <c r="E126" s="42"/>
      <c r="F126" s="122"/>
      <c r="G126" s="122"/>
      <c r="H126" s="122"/>
      <c r="I126" s="42"/>
      <c r="J126" s="122"/>
      <c r="K126" s="122"/>
      <c r="L126" s="42"/>
      <c r="M126" s="122"/>
      <c r="N126" s="123"/>
      <c r="O126" s="121"/>
    </row>
    <row r="127" spans="1:15" ht="60.75">
      <c r="A127" s="102" t="s">
        <v>228</v>
      </c>
      <c r="B127" s="102" t="s">
        <v>229</v>
      </c>
      <c r="C127" s="107">
        <v>0</v>
      </c>
      <c r="D127" s="42">
        <f>+D128</f>
        <v>3971320</v>
      </c>
      <c r="E127" s="42">
        <f>+E128</f>
        <v>3971320</v>
      </c>
      <c r="F127" s="42">
        <f aca="true" t="shared" si="38" ref="F127:N127">+F128</f>
        <v>0</v>
      </c>
      <c r="G127" s="42">
        <f t="shared" si="38"/>
        <v>0</v>
      </c>
      <c r="H127" s="42">
        <f t="shared" si="38"/>
        <v>0</v>
      </c>
      <c r="I127" s="42">
        <f t="shared" si="38"/>
        <v>0</v>
      </c>
      <c r="J127" s="42">
        <f t="shared" si="38"/>
        <v>0</v>
      </c>
      <c r="K127" s="42">
        <f t="shared" si="38"/>
        <v>0</v>
      </c>
      <c r="L127" s="42">
        <f t="shared" si="38"/>
        <v>0</v>
      </c>
      <c r="M127" s="42">
        <f t="shared" si="38"/>
        <v>0</v>
      </c>
      <c r="N127" s="42">
        <f t="shared" si="38"/>
        <v>0</v>
      </c>
      <c r="O127" s="31">
        <v>0</v>
      </c>
    </row>
    <row r="128" spans="1:15" ht="22.5" customHeight="1">
      <c r="A128" s="119" t="s">
        <v>230</v>
      </c>
      <c r="B128" s="119" t="s">
        <v>231</v>
      </c>
      <c r="C128" s="107">
        <v>0</v>
      </c>
      <c r="D128" s="42">
        <v>3971320</v>
      </c>
      <c r="E128" s="42">
        <v>3971320</v>
      </c>
      <c r="F128" s="42">
        <v>0</v>
      </c>
      <c r="G128" s="42">
        <f>+C128+D128-E128</f>
        <v>0</v>
      </c>
      <c r="H128" s="42">
        <v>0</v>
      </c>
      <c r="I128" s="42">
        <v>0</v>
      </c>
      <c r="J128" s="42">
        <f>+H128+I128</f>
        <v>0</v>
      </c>
      <c r="K128" s="42">
        <f>+I128+J128</f>
        <v>0</v>
      </c>
      <c r="L128" s="42">
        <f>+J128+K128</f>
        <v>0</v>
      </c>
      <c r="M128" s="42">
        <f>+K128+L128</f>
        <v>0</v>
      </c>
      <c r="N128" s="42">
        <f>+L128+M128</f>
        <v>0</v>
      </c>
      <c r="O128" s="31">
        <v>0</v>
      </c>
    </row>
    <row r="129" spans="1:15" ht="22.5">
      <c r="A129" s="102"/>
      <c r="B129" s="119" t="s">
        <v>232</v>
      </c>
      <c r="C129" s="107">
        <v>0</v>
      </c>
      <c r="D129" s="42">
        <f>+D131</f>
        <v>3314441620</v>
      </c>
      <c r="E129" s="42">
        <f>+E131</f>
        <v>1314441620</v>
      </c>
      <c r="F129" s="42">
        <f aca="true" t="shared" si="39" ref="F129:M129">+F131</f>
        <v>0</v>
      </c>
      <c r="G129" s="42">
        <f t="shared" si="39"/>
        <v>2000000000</v>
      </c>
      <c r="H129" s="42">
        <f t="shared" si="39"/>
        <v>0</v>
      </c>
      <c r="I129" s="42">
        <f t="shared" si="39"/>
        <v>2000000000</v>
      </c>
      <c r="J129" s="42">
        <f t="shared" si="39"/>
        <v>2000000000</v>
      </c>
      <c r="K129" s="42">
        <f t="shared" si="39"/>
        <v>0</v>
      </c>
      <c r="L129" s="101">
        <f t="shared" si="39"/>
        <v>0</v>
      </c>
      <c r="M129" s="101">
        <f t="shared" si="39"/>
        <v>2000000000</v>
      </c>
      <c r="N129" s="42">
        <f>+N131</f>
        <v>0</v>
      </c>
      <c r="O129" s="31">
        <f>M129/G129</f>
        <v>1</v>
      </c>
    </row>
    <row r="130" spans="1:15" ht="45.75">
      <c r="A130" s="102" t="s">
        <v>233</v>
      </c>
      <c r="B130" s="102" t="s">
        <v>234</v>
      </c>
      <c r="C130" s="107">
        <v>0</v>
      </c>
      <c r="D130" s="42"/>
      <c r="E130" s="42"/>
      <c r="F130" s="122"/>
      <c r="G130" s="122"/>
      <c r="H130" s="122"/>
      <c r="I130" s="42"/>
      <c r="J130" s="121"/>
      <c r="K130" s="121"/>
      <c r="L130" s="42"/>
      <c r="M130" s="122"/>
      <c r="N130" s="42">
        <v>0</v>
      </c>
      <c r="O130" s="121"/>
    </row>
    <row r="131" spans="1:15" ht="22.5">
      <c r="A131" s="119"/>
      <c r="B131" s="119" t="s">
        <v>235</v>
      </c>
      <c r="C131" s="107">
        <v>0</v>
      </c>
      <c r="D131" s="42">
        <f>+D133</f>
        <v>3314441620</v>
      </c>
      <c r="E131" s="42">
        <f>+E133</f>
        <v>1314441620</v>
      </c>
      <c r="F131" s="42">
        <f aca="true" t="shared" si="40" ref="F131:M131">+F133</f>
        <v>0</v>
      </c>
      <c r="G131" s="42">
        <f t="shared" si="40"/>
        <v>2000000000</v>
      </c>
      <c r="H131" s="42">
        <f t="shared" si="40"/>
        <v>0</v>
      </c>
      <c r="I131" s="42">
        <f t="shared" si="40"/>
        <v>2000000000</v>
      </c>
      <c r="J131" s="42">
        <f>+H131+I131</f>
        <v>2000000000</v>
      </c>
      <c r="K131" s="42">
        <f>+K133</f>
        <v>0</v>
      </c>
      <c r="L131" s="42">
        <f t="shared" si="40"/>
        <v>0</v>
      </c>
      <c r="M131" s="42">
        <f t="shared" si="40"/>
        <v>2000000000</v>
      </c>
      <c r="N131" s="42">
        <f>+N133</f>
        <v>0</v>
      </c>
      <c r="O131" s="31">
        <f>M131/G131</f>
        <v>1</v>
      </c>
    </row>
    <row r="132" spans="1:15" ht="100.5">
      <c r="A132" s="102"/>
      <c r="B132" s="102" t="s">
        <v>236</v>
      </c>
      <c r="C132" s="107">
        <v>0</v>
      </c>
      <c r="D132" s="42"/>
      <c r="E132" s="42"/>
      <c r="F132" s="122"/>
      <c r="G132" s="122"/>
      <c r="H132" s="122"/>
      <c r="I132" s="42"/>
      <c r="J132" s="121"/>
      <c r="K132" s="121"/>
      <c r="L132" s="42"/>
      <c r="M132" s="122"/>
      <c r="N132" s="42">
        <v>0</v>
      </c>
      <c r="O132" s="121"/>
    </row>
    <row r="133" spans="1:15" ht="57.75">
      <c r="A133" s="102" t="s">
        <v>237</v>
      </c>
      <c r="B133" s="102" t="s">
        <v>238</v>
      </c>
      <c r="C133" s="107">
        <v>0</v>
      </c>
      <c r="D133" s="124">
        <f>+D134+D135</f>
        <v>3314441620</v>
      </c>
      <c r="E133" s="124">
        <f>+E134+E135</f>
        <v>1314441620</v>
      </c>
      <c r="F133" s="124">
        <f>+F134+F135</f>
        <v>0</v>
      </c>
      <c r="G133" s="124">
        <f>+G134+G135</f>
        <v>2000000000</v>
      </c>
      <c r="H133" s="124">
        <f>+H134</f>
        <v>0</v>
      </c>
      <c r="I133" s="124">
        <f>+I135</f>
        <v>2000000000</v>
      </c>
      <c r="J133" s="124">
        <f>+J134</f>
        <v>0</v>
      </c>
      <c r="K133" s="124"/>
      <c r="L133" s="124">
        <f>+L135</f>
        <v>0</v>
      </c>
      <c r="M133" s="124">
        <f>+M135</f>
        <v>2000000000</v>
      </c>
      <c r="N133" s="124">
        <f>+N134</f>
        <v>0</v>
      </c>
      <c r="O133" s="31">
        <f>M133/G133</f>
        <v>1</v>
      </c>
    </row>
    <row r="134" spans="1:15" ht="29.25">
      <c r="A134" s="102" t="s">
        <v>239</v>
      </c>
      <c r="B134" s="102" t="s">
        <v>240</v>
      </c>
      <c r="C134" s="107">
        <v>0</v>
      </c>
      <c r="D134" s="42">
        <v>1314441620</v>
      </c>
      <c r="E134" s="42">
        <v>1314441620</v>
      </c>
      <c r="F134" s="42">
        <v>0</v>
      </c>
      <c r="G134" s="42">
        <f>+C134+D134-E134</f>
        <v>0</v>
      </c>
      <c r="H134" s="42">
        <v>0</v>
      </c>
      <c r="I134" s="42">
        <v>0</v>
      </c>
      <c r="J134" s="42">
        <f>+H134+I134</f>
        <v>0</v>
      </c>
      <c r="K134" s="42">
        <v>0</v>
      </c>
      <c r="L134" s="42">
        <v>0</v>
      </c>
      <c r="M134" s="42">
        <v>0</v>
      </c>
      <c r="N134" s="42">
        <f>+G134-M134</f>
        <v>0</v>
      </c>
      <c r="O134" s="31">
        <v>0</v>
      </c>
    </row>
    <row r="135" spans="1:15" ht="29.25">
      <c r="A135" s="102" t="s">
        <v>241</v>
      </c>
      <c r="B135" s="125" t="s">
        <v>242</v>
      </c>
      <c r="C135" s="107">
        <v>0</v>
      </c>
      <c r="D135" s="42">
        <v>2000000000</v>
      </c>
      <c r="E135" s="42"/>
      <c r="F135" s="42"/>
      <c r="G135" s="42">
        <f>+C135+D135-F135</f>
        <v>2000000000</v>
      </c>
      <c r="H135" s="42">
        <v>0</v>
      </c>
      <c r="I135" s="42">
        <v>2000000000</v>
      </c>
      <c r="J135" s="42">
        <f>+H135+I135</f>
        <v>2000000000</v>
      </c>
      <c r="K135" s="42">
        <v>0</v>
      </c>
      <c r="L135" s="85">
        <v>0</v>
      </c>
      <c r="M135" s="42">
        <v>2000000000</v>
      </c>
      <c r="N135" s="42">
        <f>+G135-M135</f>
        <v>0</v>
      </c>
      <c r="O135" s="31">
        <f>M135/G135</f>
        <v>1</v>
      </c>
    </row>
    <row r="136" spans="1:15" ht="18.75" customHeight="1">
      <c r="A136" s="119"/>
      <c r="B136" s="119" t="s">
        <v>243</v>
      </c>
      <c r="C136" s="107">
        <v>0</v>
      </c>
      <c r="D136" s="101">
        <f>+D139</f>
        <v>271397907</v>
      </c>
      <c r="E136" s="101">
        <f>+E139</f>
        <v>0</v>
      </c>
      <c r="F136" s="101">
        <f aca="true" t="shared" si="41" ref="F136:M136">+F139</f>
        <v>0</v>
      </c>
      <c r="G136" s="101">
        <f t="shared" si="41"/>
        <v>271397907</v>
      </c>
      <c r="H136" s="101">
        <f t="shared" si="41"/>
        <v>0</v>
      </c>
      <c r="I136" s="101">
        <f t="shared" si="41"/>
        <v>167718467</v>
      </c>
      <c r="J136" s="101">
        <f t="shared" si="41"/>
        <v>167718467</v>
      </c>
      <c r="K136" s="101">
        <f t="shared" si="41"/>
        <v>0</v>
      </c>
      <c r="L136" s="101">
        <f t="shared" si="41"/>
        <v>100490559</v>
      </c>
      <c r="M136" s="101">
        <f t="shared" si="41"/>
        <v>268209026</v>
      </c>
      <c r="N136" s="101">
        <f>+G136-M136</f>
        <v>3188881</v>
      </c>
      <c r="O136" s="31">
        <f>M136/G136</f>
        <v>0.9882501636241432</v>
      </c>
    </row>
    <row r="137" spans="1:15" ht="120.75">
      <c r="A137" s="102"/>
      <c r="B137" s="102" t="s">
        <v>244</v>
      </c>
      <c r="C137" s="107">
        <v>0</v>
      </c>
      <c r="D137" s="121"/>
      <c r="E137" s="121"/>
      <c r="F137" s="121"/>
      <c r="G137" s="121"/>
      <c r="H137" s="122"/>
      <c r="I137" s="42"/>
      <c r="J137" s="121"/>
      <c r="K137" s="121"/>
      <c r="L137" s="126"/>
      <c r="M137" s="127"/>
      <c r="N137" s="101">
        <f aca="true" t="shared" si="42" ref="N137:N142">+G137-M137</f>
        <v>0</v>
      </c>
      <c r="O137" s="121"/>
    </row>
    <row r="138" spans="1:15" ht="105.75">
      <c r="A138" s="102" t="s">
        <v>245</v>
      </c>
      <c r="B138" s="102" t="s">
        <v>246</v>
      </c>
      <c r="C138" s="107">
        <v>0</v>
      </c>
      <c r="D138" s="121"/>
      <c r="E138" s="121"/>
      <c r="F138" s="121"/>
      <c r="G138" s="121"/>
      <c r="H138" s="122"/>
      <c r="I138" s="42"/>
      <c r="J138" s="121"/>
      <c r="K138" s="121"/>
      <c r="L138" s="121"/>
      <c r="M138" s="122"/>
      <c r="N138" s="101">
        <f t="shared" si="42"/>
        <v>0</v>
      </c>
      <c r="O138" s="121"/>
    </row>
    <row r="139" spans="1:15" ht="22.5">
      <c r="A139" s="102"/>
      <c r="B139" s="119" t="s">
        <v>247</v>
      </c>
      <c r="C139" s="107">
        <v>0</v>
      </c>
      <c r="D139" s="42">
        <f>+D141</f>
        <v>271397907</v>
      </c>
      <c r="E139" s="42"/>
      <c r="F139" s="42">
        <f aca="true" t="shared" si="43" ref="F139:M139">+F141</f>
        <v>0</v>
      </c>
      <c r="G139" s="42">
        <f t="shared" si="43"/>
        <v>271397907</v>
      </c>
      <c r="H139" s="42">
        <f t="shared" si="43"/>
        <v>0</v>
      </c>
      <c r="I139" s="42">
        <v>167718467</v>
      </c>
      <c r="J139" s="42">
        <f>+H139+I139</f>
        <v>167718467</v>
      </c>
      <c r="K139" s="42"/>
      <c r="L139" s="42">
        <f t="shared" si="43"/>
        <v>100490559</v>
      </c>
      <c r="M139" s="42">
        <f t="shared" si="43"/>
        <v>268209026</v>
      </c>
      <c r="N139" s="101">
        <f t="shared" si="42"/>
        <v>3188881</v>
      </c>
      <c r="O139" s="31">
        <f>M139/G139</f>
        <v>0.9882501636241432</v>
      </c>
    </row>
    <row r="140" spans="1:15" ht="135.75">
      <c r="A140" s="102"/>
      <c r="B140" s="102" t="s">
        <v>248</v>
      </c>
      <c r="C140" s="107">
        <v>0</v>
      </c>
      <c r="D140" s="121"/>
      <c r="E140" s="121"/>
      <c r="F140" s="128"/>
      <c r="G140" s="121"/>
      <c r="H140" s="122"/>
      <c r="I140" s="121"/>
      <c r="J140" s="121"/>
      <c r="K140" s="121"/>
      <c r="L140" s="121"/>
      <c r="M140" s="122"/>
      <c r="N140" s="101">
        <f t="shared" si="42"/>
        <v>0</v>
      </c>
      <c r="O140" s="121"/>
    </row>
    <row r="141" spans="1:15" ht="60.75">
      <c r="A141" s="102" t="s">
        <v>249</v>
      </c>
      <c r="B141" s="102" t="s">
        <v>250</v>
      </c>
      <c r="C141" s="107">
        <v>0</v>
      </c>
      <c r="D141" s="42">
        <f>+D142</f>
        <v>271397907</v>
      </c>
      <c r="E141" s="42"/>
      <c r="F141" s="42">
        <f aca="true" t="shared" si="44" ref="F141:L141">+F142</f>
        <v>0</v>
      </c>
      <c r="G141" s="42">
        <f t="shared" si="44"/>
        <v>271397907</v>
      </c>
      <c r="H141" s="42">
        <f t="shared" si="44"/>
        <v>0</v>
      </c>
      <c r="I141" s="42">
        <f t="shared" si="44"/>
        <v>167718467</v>
      </c>
      <c r="J141" s="42">
        <f t="shared" si="44"/>
        <v>167718467</v>
      </c>
      <c r="K141" s="42"/>
      <c r="L141" s="42">
        <f t="shared" si="44"/>
        <v>100490559</v>
      </c>
      <c r="M141" s="46">
        <f>SUM(J141:L141)</f>
        <v>268209026</v>
      </c>
      <c r="N141" s="101">
        <f t="shared" si="42"/>
        <v>3188881</v>
      </c>
      <c r="O141" s="31">
        <f>M141/G141</f>
        <v>0.9882501636241432</v>
      </c>
    </row>
    <row r="142" spans="1:15" ht="31.5">
      <c r="A142" s="102"/>
      <c r="B142" s="119" t="s">
        <v>251</v>
      </c>
      <c r="C142" s="107">
        <v>0</v>
      </c>
      <c r="D142" s="42">
        <v>271397907</v>
      </c>
      <c r="E142" s="42"/>
      <c r="F142" s="42">
        <v>0</v>
      </c>
      <c r="G142" s="42">
        <v>271397907</v>
      </c>
      <c r="H142" s="42">
        <v>0</v>
      </c>
      <c r="I142" s="42">
        <v>167718467</v>
      </c>
      <c r="J142" s="42">
        <f>+H142+I142</f>
        <v>167718467</v>
      </c>
      <c r="K142" s="42"/>
      <c r="L142" s="85">
        <f>64747948+35742611</f>
        <v>100490559</v>
      </c>
      <c r="M142" s="46">
        <f>SUM(J142:L142)</f>
        <v>268209026</v>
      </c>
      <c r="N142" s="101">
        <f t="shared" si="42"/>
        <v>3188881</v>
      </c>
      <c r="O142" s="31">
        <f>M142/G142</f>
        <v>0.9882501636241432</v>
      </c>
    </row>
    <row r="143" spans="8:15" ht="13.5" thickBot="1">
      <c r="H143" s="4"/>
      <c r="M143" s="4"/>
      <c r="N143" s="6"/>
      <c r="O143" s="129"/>
    </row>
    <row r="144" spans="1:15" ht="25.5">
      <c r="A144" s="130"/>
      <c r="B144" s="131" t="s">
        <v>252</v>
      </c>
      <c r="C144" s="132"/>
      <c r="D144" s="115">
        <f>+D120</f>
        <v>3589810847</v>
      </c>
      <c r="E144" s="115">
        <f>+E120</f>
        <v>1318412940</v>
      </c>
      <c r="F144" s="115">
        <f>+F120</f>
        <v>0</v>
      </c>
      <c r="G144" s="115">
        <f aca="true" t="shared" si="45" ref="G144:N144">+G120</f>
        <v>2271397907</v>
      </c>
      <c r="H144" s="115">
        <f t="shared" si="45"/>
        <v>0</v>
      </c>
      <c r="I144" s="115">
        <f t="shared" si="45"/>
        <v>2167718467</v>
      </c>
      <c r="J144" s="115">
        <f t="shared" si="45"/>
        <v>2167718467</v>
      </c>
      <c r="K144" s="115">
        <f t="shared" si="45"/>
        <v>0</v>
      </c>
      <c r="L144" s="115">
        <f t="shared" si="45"/>
        <v>100490559</v>
      </c>
      <c r="M144" s="115">
        <f t="shared" si="45"/>
        <v>2268209026</v>
      </c>
      <c r="N144" s="115">
        <f t="shared" si="45"/>
        <v>3188881</v>
      </c>
      <c r="O144" s="31" t="e">
        <f>+O146+O148+O154</f>
        <v>#VALUE!</v>
      </c>
    </row>
    <row r="145" spans="1:15" ht="12.75">
      <c r="A145" s="133"/>
      <c r="B145" s="134"/>
      <c r="C145" s="134"/>
      <c r="D145" s="134"/>
      <c r="E145" s="134"/>
      <c r="F145" s="134"/>
      <c r="G145" s="134"/>
      <c r="H145" s="135"/>
      <c r="I145" s="134"/>
      <c r="J145" s="136"/>
      <c r="K145" s="136"/>
      <c r="L145" s="134"/>
      <c r="M145" s="135"/>
      <c r="N145" s="136"/>
      <c r="O145" s="134"/>
    </row>
    <row r="146" spans="1:15" ht="13.5" thickBot="1">
      <c r="A146" s="137"/>
      <c r="B146" s="138" t="s">
        <v>253</v>
      </c>
      <c r="C146" s="139">
        <f>+C119+C120</f>
        <v>46903579000</v>
      </c>
      <c r="D146" s="139">
        <f>+D119+D144</f>
        <v>4231467392</v>
      </c>
      <c r="E146" s="139">
        <f>+E119+E144</f>
        <v>6978819071</v>
      </c>
      <c r="F146" s="139">
        <f>+F119+F144</f>
        <v>2231467392</v>
      </c>
      <c r="G146" s="139">
        <f aca="true" t="shared" si="46" ref="G146:N146">+G119+G144</f>
        <v>41924759929</v>
      </c>
      <c r="H146" s="139">
        <f t="shared" si="46"/>
        <v>22787013715</v>
      </c>
      <c r="I146" s="139">
        <f t="shared" si="46"/>
        <v>10008612354</v>
      </c>
      <c r="J146" s="139">
        <f t="shared" si="46"/>
        <v>32795626069</v>
      </c>
      <c r="K146" s="139">
        <f t="shared" si="46"/>
        <v>372105810</v>
      </c>
      <c r="L146" s="139">
        <f t="shared" si="46"/>
        <v>3508604740</v>
      </c>
      <c r="M146" s="139">
        <f t="shared" si="46"/>
        <v>36676336619</v>
      </c>
      <c r="N146" s="139">
        <f t="shared" si="46"/>
        <v>5248423308</v>
      </c>
      <c r="O146" s="140">
        <f>M146/G146</f>
        <v>0.874813276954042</v>
      </c>
    </row>
    <row r="147" spans="1:15" ht="12.75">
      <c r="A147" s="267" t="s">
        <v>254</v>
      </c>
      <c r="B147" s="267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2"/>
    </row>
    <row r="148" spans="1:17" ht="12.75">
      <c r="A148" s="143"/>
      <c r="B148" s="144"/>
      <c r="D148" s="6"/>
      <c r="E148" s="6"/>
      <c r="F148" s="4"/>
      <c r="G148" s="4"/>
      <c r="H148" s="4"/>
      <c r="I148" s="6"/>
      <c r="J148" s="4"/>
      <c r="K148" s="4"/>
      <c r="L148" s="6"/>
      <c r="M148" s="4"/>
      <c r="N148" s="145"/>
      <c r="Q148" s="6"/>
    </row>
    <row r="149" spans="1:17" ht="12.75">
      <c r="A149" s="143"/>
      <c r="B149" s="118" t="s">
        <v>255</v>
      </c>
      <c r="D149" s="6"/>
      <c r="E149" s="6"/>
      <c r="F149" s="4"/>
      <c r="G149" s="146" t="s">
        <v>256</v>
      </c>
      <c r="H149" s="6"/>
      <c r="J149" s="4"/>
      <c r="K149" s="4"/>
      <c r="L149" s="6"/>
      <c r="M149" s="147" t="s">
        <v>257</v>
      </c>
      <c r="Q149" s="6"/>
    </row>
    <row r="150" spans="1:14" ht="12.75">
      <c r="A150" s="143"/>
      <c r="B150" s="148" t="s">
        <v>258</v>
      </c>
      <c r="D150" s="6"/>
      <c r="E150" s="6"/>
      <c r="F150" s="4"/>
      <c r="G150" s="268" t="s">
        <v>259</v>
      </c>
      <c r="H150" s="268"/>
      <c r="J150" s="4"/>
      <c r="K150" s="4"/>
      <c r="L150" s="6"/>
      <c r="M150" s="149" t="s">
        <v>260</v>
      </c>
      <c r="N150" s="4"/>
    </row>
    <row r="151" spans="1:14" ht="12.75">
      <c r="A151" s="143"/>
      <c r="B151" s="144"/>
      <c r="D151" s="6"/>
      <c r="E151" s="6"/>
      <c r="F151" s="4"/>
      <c r="G151" s="4"/>
      <c r="H151" s="4"/>
      <c r="I151" s="6"/>
      <c r="J151" s="4"/>
      <c r="K151" s="4"/>
      <c r="L151" s="6"/>
      <c r="M151" s="4"/>
      <c r="N151" s="4"/>
    </row>
    <row r="152" spans="1:17" s="152" customFormat="1" ht="15">
      <c r="A152" s="150"/>
      <c r="B152" s="254" t="s">
        <v>261</v>
      </c>
      <c r="C152" s="254"/>
      <c r="D152" s="254"/>
      <c r="E152" s="254"/>
      <c r="F152" s="254"/>
      <c r="G152" s="254"/>
      <c r="H152" s="254"/>
      <c r="I152" s="254"/>
      <c r="J152" s="151"/>
      <c r="K152" s="151"/>
      <c r="L152" s="151"/>
      <c r="M152" s="151"/>
      <c r="N152" s="151"/>
      <c r="O152" s="151"/>
      <c r="P152" s="151"/>
      <c r="Q152" s="151"/>
    </row>
    <row r="153" spans="1:17" s="152" customFormat="1" ht="15" thickBot="1">
      <c r="A153" s="153"/>
      <c r="B153" s="255" t="s">
        <v>262</v>
      </c>
      <c r="C153" s="255"/>
      <c r="D153" s="255"/>
      <c r="E153" s="255"/>
      <c r="F153" s="255"/>
      <c r="G153" s="255"/>
      <c r="H153" s="255"/>
      <c r="I153" s="255"/>
      <c r="J153" s="151"/>
      <c r="K153" s="151"/>
      <c r="L153" s="151"/>
      <c r="M153" s="151"/>
      <c r="N153" s="151"/>
      <c r="O153" s="151"/>
      <c r="P153" s="151"/>
      <c r="Q153" s="151"/>
    </row>
    <row r="154" spans="1:17" s="152" customFormat="1" ht="15.75" customHeight="1">
      <c r="A154" s="154"/>
      <c r="B154" s="256" t="s">
        <v>263</v>
      </c>
      <c r="C154" s="257"/>
      <c r="D154" s="257"/>
      <c r="E154" s="257"/>
      <c r="F154" s="258"/>
      <c r="G154" s="262" t="s">
        <v>264</v>
      </c>
      <c r="H154" s="243" t="s">
        <v>265</v>
      </c>
      <c r="I154" s="243" t="s">
        <v>266</v>
      </c>
      <c r="J154" s="243" t="s">
        <v>267</v>
      </c>
      <c r="K154" s="245" t="s">
        <v>268</v>
      </c>
      <c r="L154" s="246"/>
      <c r="M154" s="249" t="s">
        <v>269</v>
      </c>
      <c r="N154" s="230" t="s">
        <v>270</v>
      </c>
      <c r="O154" s="252" t="s">
        <v>271</v>
      </c>
      <c r="P154" s="230" t="s">
        <v>272</v>
      </c>
      <c r="Q154" s="230" t="s">
        <v>273</v>
      </c>
    </row>
    <row r="155" spans="1:17" s="152" customFormat="1" ht="24" customHeight="1" thickBot="1">
      <c r="A155" s="155"/>
      <c r="B155" s="259"/>
      <c r="C155" s="260"/>
      <c r="D155" s="260"/>
      <c r="E155" s="260"/>
      <c r="F155" s="261"/>
      <c r="G155" s="263"/>
      <c r="H155" s="264"/>
      <c r="I155" s="244"/>
      <c r="J155" s="244"/>
      <c r="K155" s="247"/>
      <c r="L155" s="248"/>
      <c r="M155" s="250"/>
      <c r="N155" s="231"/>
      <c r="O155" s="253"/>
      <c r="P155" s="231"/>
      <c r="Q155" s="231"/>
    </row>
    <row r="156" spans="1:17" s="152" customFormat="1" ht="44.25" customHeight="1" thickBot="1">
      <c r="A156" s="155"/>
      <c r="B156" s="259"/>
      <c r="C156" s="260"/>
      <c r="D156" s="260"/>
      <c r="E156" s="260"/>
      <c r="F156" s="261"/>
      <c r="G156" s="157"/>
      <c r="H156" s="156"/>
      <c r="I156" s="156"/>
      <c r="J156" s="156"/>
      <c r="K156" s="158" t="s">
        <v>274</v>
      </c>
      <c r="L156" s="159" t="s">
        <v>275</v>
      </c>
      <c r="M156" s="251"/>
      <c r="N156" s="231"/>
      <c r="O156" s="253"/>
      <c r="P156" s="231"/>
      <c r="Q156" s="231"/>
    </row>
    <row r="157" spans="1:17" s="152" customFormat="1" ht="14.25">
      <c r="A157" s="160"/>
      <c r="B157" s="161" t="s">
        <v>276</v>
      </c>
      <c r="C157" s="162"/>
      <c r="D157" s="162"/>
      <c r="E157" s="162"/>
      <c r="F157" s="163" t="s">
        <v>277</v>
      </c>
      <c r="G157" s="164">
        <f aca="true" t="shared" si="47" ref="G157:P157">+G158+G170</f>
        <v>39403579000</v>
      </c>
      <c r="H157" s="164">
        <f t="shared" si="47"/>
        <v>21335732648.379997</v>
      </c>
      <c r="I157" s="164">
        <f t="shared" si="47"/>
        <v>28314551719</v>
      </c>
      <c r="J157" s="164">
        <f t="shared" si="47"/>
        <v>32424759929.379997</v>
      </c>
      <c r="K157" s="165">
        <f t="shared" si="47"/>
        <v>0</v>
      </c>
      <c r="L157" s="165">
        <f t="shared" si="47"/>
        <v>0</v>
      </c>
      <c r="M157" s="165">
        <f t="shared" si="47"/>
        <v>2481517685.1</v>
      </c>
      <c r="N157" s="165">
        <f t="shared" si="47"/>
        <v>2481517685.1</v>
      </c>
      <c r="O157" s="166">
        <f t="shared" si="47"/>
        <v>0</v>
      </c>
      <c r="P157" s="165">
        <f t="shared" si="47"/>
        <v>29943242244.279995</v>
      </c>
      <c r="Q157" s="167">
        <f>+N157/J157</f>
        <v>0.07653156694157981</v>
      </c>
    </row>
    <row r="158" spans="1:18" s="152" customFormat="1" ht="15">
      <c r="A158" s="168"/>
      <c r="B158" s="169" t="s">
        <v>278</v>
      </c>
      <c r="C158" s="170"/>
      <c r="D158" s="170"/>
      <c r="E158" s="170"/>
      <c r="F158" s="171" t="s">
        <v>279</v>
      </c>
      <c r="G158" s="172">
        <f aca="true" t="shared" si="48" ref="G158:P158">+G159</f>
        <v>10046000000</v>
      </c>
      <c r="H158" s="172">
        <f t="shared" si="48"/>
        <v>0</v>
      </c>
      <c r="I158" s="172">
        <f t="shared" si="48"/>
        <v>0</v>
      </c>
      <c r="J158" s="172">
        <f t="shared" si="48"/>
        <v>10046000000</v>
      </c>
      <c r="K158" s="173">
        <f t="shared" si="48"/>
        <v>0</v>
      </c>
      <c r="L158" s="173">
        <f t="shared" si="48"/>
        <v>0</v>
      </c>
      <c r="M158" s="173">
        <f t="shared" si="48"/>
        <v>1287568912.04</v>
      </c>
      <c r="N158" s="173">
        <f t="shared" si="48"/>
        <v>1287568912.04</v>
      </c>
      <c r="O158" s="173">
        <f t="shared" si="48"/>
        <v>0</v>
      </c>
      <c r="P158" s="173">
        <f t="shared" si="48"/>
        <v>8758431087.96</v>
      </c>
      <c r="Q158" s="174">
        <f aca="true" t="shared" si="49" ref="Q158:Q171">+N158/J158</f>
        <v>0.12816732152498506</v>
      </c>
      <c r="R158" s="175"/>
    </row>
    <row r="159" spans="1:17" s="152" customFormat="1" ht="16.5" customHeight="1">
      <c r="A159" s="168"/>
      <c r="B159" s="169" t="s">
        <v>280</v>
      </c>
      <c r="C159" s="170"/>
      <c r="D159" s="170"/>
      <c r="E159" s="170"/>
      <c r="F159" s="171" t="s">
        <v>281</v>
      </c>
      <c r="G159" s="172">
        <f>+G160+G168</f>
        <v>10046000000</v>
      </c>
      <c r="H159" s="172">
        <f>+H160+H168</f>
        <v>0</v>
      </c>
      <c r="I159" s="172">
        <f>+I160+I168</f>
        <v>0</v>
      </c>
      <c r="J159" s="172">
        <f>+J160+J168</f>
        <v>10046000000</v>
      </c>
      <c r="K159" s="173">
        <f aca="true" t="shared" si="50" ref="K159:P159">+K160+K168</f>
        <v>0</v>
      </c>
      <c r="L159" s="173">
        <f t="shared" si="50"/>
        <v>0</v>
      </c>
      <c r="M159" s="173">
        <f t="shared" si="50"/>
        <v>1287568912.04</v>
      </c>
      <c r="N159" s="173">
        <f t="shared" si="50"/>
        <v>1287568912.04</v>
      </c>
      <c r="O159" s="173">
        <f t="shared" si="50"/>
        <v>0</v>
      </c>
      <c r="P159" s="173">
        <f t="shared" si="50"/>
        <v>8758431087.96</v>
      </c>
      <c r="Q159" s="174">
        <f t="shared" si="49"/>
        <v>0.12816732152498506</v>
      </c>
    </row>
    <row r="160" spans="1:18" s="152" customFormat="1" ht="15.75" customHeight="1">
      <c r="A160" s="168"/>
      <c r="B160" s="169" t="s">
        <v>282</v>
      </c>
      <c r="C160" s="170"/>
      <c r="D160" s="170"/>
      <c r="E160" s="170"/>
      <c r="F160" s="171" t="s">
        <v>283</v>
      </c>
      <c r="G160" s="172">
        <f>+G161+G165</f>
        <v>9946000000</v>
      </c>
      <c r="H160" s="172">
        <f>+H161+H165</f>
        <v>0</v>
      </c>
      <c r="I160" s="172">
        <f>+I161+I165</f>
        <v>0</v>
      </c>
      <c r="J160" s="172">
        <f>+J161+J165</f>
        <v>9946000000</v>
      </c>
      <c r="K160" s="173">
        <f aca="true" t="shared" si="51" ref="K160:P160">+K161+K165</f>
        <v>0</v>
      </c>
      <c r="L160" s="173">
        <f t="shared" si="51"/>
        <v>0</v>
      </c>
      <c r="M160" s="173">
        <f t="shared" si="51"/>
        <v>1216646851</v>
      </c>
      <c r="N160" s="173">
        <f t="shared" si="51"/>
        <v>1216646851</v>
      </c>
      <c r="O160" s="173">
        <f t="shared" si="51"/>
        <v>0</v>
      </c>
      <c r="P160" s="173">
        <f t="shared" si="51"/>
        <v>8729353149</v>
      </c>
      <c r="Q160" s="174">
        <f t="shared" si="49"/>
        <v>0.12232524140357932</v>
      </c>
      <c r="R160" s="175"/>
    </row>
    <row r="161" spans="1:17" s="152" customFormat="1" ht="15">
      <c r="A161" s="168"/>
      <c r="B161" s="169" t="s">
        <v>284</v>
      </c>
      <c r="C161" s="170"/>
      <c r="D161" s="170"/>
      <c r="E161" s="170"/>
      <c r="F161" s="171" t="s">
        <v>285</v>
      </c>
      <c r="G161" s="172">
        <f>SUM(G162:G164)</f>
        <v>8846000000</v>
      </c>
      <c r="H161" s="172">
        <f>SUM(H162:H164)</f>
        <v>0</v>
      </c>
      <c r="I161" s="172">
        <f>SUM(I162:I164)</f>
        <v>0</v>
      </c>
      <c r="J161" s="172">
        <f>SUM(J162:J164)</f>
        <v>8846000000</v>
      </c>
      <c r="K161" s="173">
        <f aca="true" t="shared" si="52" ref="K161:P161">SUM(K162:K164)</f>
        <v>0</v>
      </c>
      <c r="L161" s="173">
        <f t="shared" si="52"/>
        <v>0</v>
      </c>
      <c r="M161" s="173">
        <f t="shared" si="52"/>
        <v>954475879</v>
      </c>
      <c r="N161" s="173">
        <f>SUM(N162:N164)</f>
        <v>954475879</v>
      </c>
      <c r="O161" s="173">
        <f>SUM(O162:O164)</f>
        <v>0</v>
      </c>
      <c r="P161" s="173">
        <f t="shared" si="52"/>
        <v>7891524121</v>
      </c>
      <c r="Q161" s="174">
        <f t="shared" si="49"/>
        <v>0.10789914978521366</v>
      </c>
    </row>
    <row r="162" spans="1:18" s="186" customFormat="1" ht="15">
      <c r="A162" s="176"/>
      <c r="B162" s="177" t="s">
        <v>286</v>
      </c>
      <c r="C162" s="178">
        <v>99999</v>
      </c>
      <c r="D162" s="178">
        <v>999999</v>
      </c>
      <c r="E162" s="179" t="s">
        <v>287</v>
      </c>
      <c r="F162" s="180" t="s">
        <v>288</v>
      </c>
      <c r="G162" s="181">
        <v>3746000000</v>
      </c>
      <c r="H162" s="182"/>
      <c r="I162" s="182"/>
      <c r="J162" s="183">
        <f>+G162+H162-I162</f>
        <v>3746000000</v>
      </c>
      <c r="K162" s="183">
        <f>+'[1]Noviembre 2016'!N162</f>
        <v>0</v>
      </c>
      <c r="L162" s="183"/>
      <c r="M162" s="183">
        <v>518978608</v>
      </c>
      <c r="N162" s="183">
        <f>+K162+M162</f>
        <v>518978608</v>
      </c>
      <c r="O162" s="183"/>
      <c r="P162" s="183">
        <f>+J162-N162</f>
        <v>3227021392</v>
      </c>
      <c r="Q162" s="184">
        <f t="shared" si="49"/>
        <v>0.1385420736785905</v>
      </c>
      <c r="R162" s="185"/>
    </row>
    <row r="163" spans="1:17" s="186" customFormat="1" ht="15">
      <c r="A163" s="176"/>
      <c r="B163" s="177" t="s">
        <v>289</v>
      </c>
      <c r="C163" s="178">
        <v>99999</v>
      </c>
      <c r="D163" s="178">
        <v>999999</v>
      </c>
      <c r="E163" s="179" t="s">
        <v>287</v>
      </c>
      <c r="F163" s="180" t="s">
        <v>290</v>
      </c>
      <c r="G163" s="181">
        <v>174000000</v>
      </c>
      <c r="H163" s="182"/>
      <c r="I163" s="182"/>
      <c r="J163" s="183">
        <f>+G163+H163-I163</f>
        <v>174000000</v>
      </c>
      <c r="K163" s="183">
        <f>+'[1]Noviembre 2016'!N163</f>
        <v>0</v>
      </c>
      <c r="L163" s="183"/>
      <c r="M163" s="183">
        <v>80930463</v>
      </c>
      <c r="N163" s="183">
        <f>+K163+M163</f>
        <v>80930463</v>
      </c>
      <c r="O163" s="183"/>
      <c r="P163" s="183">
        <f>+J163-N163</f>
        <v>93069537</v>
      </c>
      <c r="Q163" s="184">
        <f t="shared" si="49"/>
        <v>0.46511760344827585</v>
      </c>
    </row>
    <row r="164" spans="1:17" s="186" customFormat="1" ht="15">
      <c r="A164" s="176"/>
      <c r="B164" s="177" t="s">
        <v>291</v>
      </c>
      <c r="C164" s="178">
        <v>99999</v>
      </c>
      <c r="D164" s="178">
        <v>999999</v>
      </c>
      <c r="E164" s="179" t="s">
        <v>287</v>
      </c>
      <c r="F164" s="180" t="s">
        <v>292</v>
      </c>
      <c r="G164" s="181">
        <v>4926000000</v>
      </c>
      <c r="H164" s="183"/>
      <c r="I164" s="183"/>
      <c r="J164" s="183">
        <f>+G164+H164-I164</f>
        <v>4926000000</v>
      </c>
      <c r="K164" s="183">
        <f>+'[1]Noviembre 2016'!N164</f>
        <v>0</v>
      </c>
      <c r="L164" s="187"/>
      <c r="M164" s="187">
        <v>354566808</v>
      </c>
      <c r="N164" s="183">
        <f>+K164+M164</f>
        <v>354566808</v>
      </c>
      <c r="O164" s="183"/>
      <c r="P164" s="183">
        <f>+J164-N164</f>
        <v>4571433192</v>
      </c>
      <c r="Q164" s="184">
        <f t="shared" si="49"/>
        <v>0.07197864555420219</v>
      </c>
    </row>
    <row r="165" spans="1:17" s="186" customFormat="1" ht="15">
      <c r="A165" s="176"/>
      <c r="B165" s="188" t="s">
        <v>293</v>
      </c>
      <c r="C165" s="178"/>
      <c r="D165" s="178"/>
      <c r="E165" s="179"/>
      <c r="F165" s="171" t="s">
        <v>294</v>
      </c>
      <c r="G165" s="172">
        <f aca="true" t="shared" si="53" ref="G165:I166">+G166</f>
        <v>1100000000</v>
      </c>
      <c r="H165" s="172">
        <f t="shared" si="53"/>
        <v>0</v>
      </c>
      <c r="I165" s="172">
        <f t="shared" si="53"/>
        <v>0</v>
      </c>
      <c r="J165" s="182">
        <f>+G165+H165-I165</f>
        <v>1100000000</v>
      </c>
      <c r="K165" s="189">
        <f aca="true" t="shared" si="54" ref="K165:P166">+K166</f>
        <v>0</v>
      </c>
      <c r="L165" s="189">
        <f t="shared" si="54"/>
        <v>0</v>
      </c>
      <c r="M165" s="189">
        <f t="shared" si="54"/>
        <v>262170972</v>
      </c>
      <c r="N165" s="182">
        <f t="shared" si="54"/>
        <v>262170972</v>
      </c>
      <c r="O165" s="182">
        <f t="shared" si="54"/>
        <v>0</v>
      </c>
      <c r="P165" s="182">
        <f t="shared" si="54"/>
        <v>837829028</v>
      </c>
      <c r="Q165" s="174">
        <f t="shared" si="49"/>
        <v>0.23833724727272726</v>
      </c>
    </row>
    <row r="166" spans="1:17" s="186" customFormat="1" ht="15">
      <c r="A166" s="176"/>
      <c r="B166" s="188" t="s">
        <v>295</v>
      </c>
      <c r="C166" s="178"/>
      <c r="D166" s="178"/>
      <c r="E166" s="179"/>
      <c r="F166" s="171" t="s">
        <v>296</v>
      </c>
      <c r="G166" s="172">
        <f t="shared" si="53"/>
        <v>1100000000</v>
      </c>
      <c r="H166" s="172">
        <f t="shared" si="53"/>
        <v>0</v>
      </c>
      <c r="I166" s="172">
        <f t="shared" si="53"/>
        <v>0</v>
      </c>
      <c r="J166" s="173">
        <f>+J167</f>
        <v>1100000000</v>
      </c>
      <c r="K166" s="173">
        <f t="shared" si="54"/>
        <v>0</v>
      </c>
      <c r="L166" s="173">
        <f t="shared" si="54"/>
        <v>0</v>
      </c>
      <c r="M166" s="173">
        <f t="shared" si="54"/>
        <v>262170972</v>
      </c>
      <c r="N166" s="173">
        <f t="shared" si="54"/>
        <v>262170972</v>
      </c>
      <c r="O166" s="173">
        <f t="shared" si="54"/>
        <v>0</v>
      </c>
      <c r="P166" s="173">
        <f t="shared" si="54"/>
        <v>837829028</v>
      </c>
      <c r="Q166" s="174">
        <f t="shared" si="49"/>
        <v>0.23833724727272726</v>
      </c>
    </row>
    <row r="167" spans="1:17" s="186" customFormat="1" ht="48">
      <c r="A167" s="176"/>
      <c r="B167" s="177" t="s">
        <v>297</v>
      </c>
      <c r="C167" s="178">
        <v>99999</v>
      </c>
      <c r="D167" s="178">
        <v>999999</v>
      </c>
      <c r="E167" s="179" t="s">
        <v>287</v>
      </c>
      <c r="F167" s="190" t="s">
        <v>298</v>
      </c>
      <c r="G167" s="181">
        <v>1100000000</v>
      </c>
      <c r="H167" s="182"/>
      <c r="I167" s="183"/>
      <c r="J167" s="183">
        <f>+G167+H167-I167</f>
        <v>1100000000</v>
      </c>
      <c r="K167" s="183">
        <f>+'[1]Noviembre 2016'!N167</f>
        <v>0</v>
      </c>
      <c r="L167" s="187"/>
      <c r="M167" s="187">
        <v>262170972</v>
      </c>
      <c r="N167" s="183">
        <f>+K167+M167</f>
        <v>262170972</v>
      </c>
      <c r="O167" s="183"/>
      <c r="P167" s="183">
        <f>+J167-N167</f>
        <v>837829028</v>
      </c>
      <c r="Q167" s="184">
        <f>+N167/J167</f>
        <v>0.23833724727272726</v>
      </c>
    </row>
    <row r="168" spans="1:17" s="152" customFormat="1" ht="15">
      <c r="A168" s="191"/>
      <c r="B168" s="169" t="s">
        <v>299</v>
      </c>
      <c r="C168" s="170"/>
      <c r="D168" s="170"/>
      <c r="E168" s="170"/>
      <c r="F168" s="171" t="s">
        <v>300</v>
      </c>
      <c r="G168" s="172">
        <f>+G169</f>
        <v>100000000</v>
      </c>
      <c r="H168" s="172">
        <f>+H169</f>
        <v>0</v>
      </c>
      <c r="I168" s="172">
        <f>+I169</f>
        <v>0</v>
      </c>
      <c r="J168" s="173">
        <f>+J169</f>
        <v>100000000</v>
      </c>
      <c r="K168" s="173">
        <f aca="true" t="shared" si="55" ref="K168:P168">+K169</f>
        <v>0</v>
      </c>
      <c r="L168" s="173">
        <f t="shared" si="55"/>
        <v>0</v>
      </c>
      <c r="M168" s="173">
        <f t="shared" si="55"/>
        <v>70922061.04</v>
      </c>
      <c r="N168" s="173">
        <f t="shared" si="55"/>
        <v>70922061.04</v>
      </c>
      <c r="O168" s="173">
        <f t="shared" si="55"/>
        <v>0</v>
      </c>
      <c r="P168" s="173">
        <f t="shared" si="55"/>
        <v>29077938.959999993</v>
      </c>
      <c r="Q168" s="174">
        <f t="shared" si="49"/>
        <v>0.7092206104000001</v>
      </c>
    </row>
    <row r="169" spans="1:17" s="152" customFormat="1" ht="15">
      <c r="A169" s="191"/>
      <c r="B169" s="192" t="s">
        <v>301</v>
      </c>
      <c r="C169" s="178">
        <v>99999</v>
      </c>
      <c r="D169" s="178">
        <v>999999</v>
      </c>
      <c r="E169" s="179" t="s">
        <v>287</v>
      </c>
      <c r="F169" s="180" t="s">
        <v>302</v>
      </c>
      <c r="G169" s="181">
        <v>100000000</v>
      </c>
      <c r="H169" s="193"/>
      <c r="I169" s="193"/>
      <c r="J169" s="193">
        <f>+G169+H169-I169</f>
        <v>100000000</v>
      </c>
      <c r="K169" s="183">
        <f>+'[1]Noviembre 2016'!N169</f>
        <v>0</v>
      </c>
      <c r="L169" s="194"/>
      <c r="M169" s="193">
        <f>49038924+21553030+330107.04</f>
        <v>70922061.04</v>
      </c>
      <c r="N169" s="193">
        <f>+K169+M169</f>
        <v>70922061.04</v>
      </c>
      <c r="O169" s="183"/>
      <c r="P169" s="183">
        <f>+J169-N169</f>
        <v>29077938.959999993</v>
      </c>
      <c r="Q169" s="184">
        <f t="shared" si="49"/>
        <v>0.7092206104000001</v>
      </c>
    </row>
    <row r="170" spans="1:17" s="152" customFormat="1" ht="15">
      <c r="A170" s="191"/>
      <c r="B170" s="169" t="s">
        <v>303</v>
      </c>
      <c r="C170" s="170"/>
      <c r="D170" s="170"/>
      <c r="E170" s="170"/>
      <c r="F170" s="171" t="s">
        <v>304</v>
      </c>
      <c r="G170" s="172">
        <f>+G171+G181</f>
        <v>29357579000</v>
      </c>
      <c r="H170" s="173">
        <f aca="true" t="shared" si="56" ref="H170:P170">+H171+H181+H175</f>
        <v>21335732648.379997</v>
      </c>
      <c r="I170" s="173">
        <f t="shared" si="56"/>
        <v>28314551719</v>
      </c>
      <c r="J170" s="173">
        <f t="shared" si="56"/>
        <v>22378759929.379997</v>
      </c>
      <c r="K170" s="173">
        <f t="shared" si="56"/>
        <v>0</v>
      </c>
      <c r="L170" s="173">
        <f t="shared" si="56"/>
        <v>0</v>
      </c>
      <c r="M170" s="173">
        <f t="shared" si="56"/>
        <v>1193948773.06</v>
      </c>
      <c r="N170" s="173">
        <f t="shared" si="56"/>
        <v>1193948773.06</v>
      </c>
      <c r="O170" s="195">
        <f t="shared" si="56"/>
        <v>0</v>
      </c>
      <c r="P170" s="173">
        <f t="shared" si="56"/>
        <v>21184811156.319996</v>
      </c>
      <c r="Q170" s="174">
        <f t="shared" si="49"/>
        <v>0.05335187368860962</v>
      </c>
    </row>
    <row r="171" spans="1:17" s="152" customFormat="1" ht="15">
      <c r="A171" s="191"/>
      <c r="B171" s="169" t="s">
        <v>305</v>
      </c>
      <c r="C171" s="170"/>
      <c r="D171" s="170"/>
      <c r="E171" s="170"/>
      <c r="F171" s="171" t="s">
        <v>306</v>
      </c>
      <c r="G171" s="172">
        <f>+G173</f>
        <v>130000000</v>
      </c>
      <c r="H171" s="193"/>
      <c r="I171" s="193"/>
      <c r="J171" s="173">
        <f>+J173</f>
        <v>130000000</v>
      </c>
      <c r="K171" s="173">
        <f aca="true" t="shared" si="57" ref="K171:P171">+K173</f>
        <v>0</v>
      </c>
      <c r="L171" s="173">
        <f t="shared" si="57"/>
        <v>0</v>
      </c>
      <c r="M171" s="173">
        <f t="shared" si="57"/>
        <v>115388773.06</v>
      </c>
      <c r="N171" s="173">
        <f t="shared" si="57"/>
        <v>115388773.06</v>
      </c>
      <c r="O171" s="195">
        <f t="shared" si="57"/>
        <v>0</v>
      </c>
      <c r="P171" s="173">
        <f t="shared" si="57"/>
        <v>14611226.939999998</v>
      </c>
      <c r="Q171" s="174">
        <f t="shared" si="49"/>
        <v>0.8876059466153846</v>
      </c>
    </row>
    <row r="172" spans="1:17" s="152" customFormat="1" ht="15">
      <c r="A172" s="191"/>
      <c r="B172" s="169" t="s">
        <v>307</v>
      </c>
      <c r="C172" s="170"/>
      <c r="D172" s="170"/>
      <c r="E172" s="170"/>
      <c r="F172" s="171" t="s">
        <v>308</v>
      </c>
      <c r="G172" s="196">
        <f>+G173</f>
        <v>130000000</v>
      </c>
      <c r="H172" s="197"/>
      <c r="I172" s="197"/>
      <c r="J172" s="197">
        <f aca="true" t="shared" si="58" ref="J172:P172">+J173</f>
        <v>130000000</v>
      </c>
      <c r="K172" s="197">
        <f t="shared" si="58"/>
        <v>0</v>
      </c>
      <c r="L172" s="197">
        <f t="shared" si="58"/>
        <v>0</v>
      </c>
      <c r="M172" s="197">
        <f t="shared" si="58"/>
        <v>115388773.06</v>
      </c>
      <c r="N172" s="197">
        <f t="shared" si="58"/>
        <v>115388773.06</v>
      </c>
      <c r="O172" s="198">
        <f>+O173</f>
        <v>0</v>
      </c>
      <c r="P172" s="182">
        <f t="shared" si="58"/>
        <v>14611226.939999998</v>
      </c>
      <c r="Q172" s="174">
        <f>+N172/J172</f>
        <v>0.8876059466153846</v>
      </c>
    </row>
    <row r="173" spans="1:17" s="152" customFormat="1" ht="15">
      <c r="A173" s="191"/>
      <c r="B173" s="192" t="s">
        <v>309</v>
      </c>
      <c r="C173" s="178">
        <v>99999</v>
      </c>
      <c r="D173" s="178">
        <v>999999</v>
      </c>
      <c r="E173" s="179" t="s">
        <v>287</v>
      </c>
      <c r="F173" s="180" t="s">
        <v>308</v>
      </c>
      <c r="G173" s="181">
        <v>130000000</v>
      </c>
      <c r="H173" s="197"/>
      <c r="I173" s="197"/>
      <c r="J173" s="193">
        <f>+G173+H173-I173</f>
        <v>130000000</v>
      </c>
      <c r="K173" s="183">
        <f>+'[1]Noviembre 2016'!N173</f>
        <v>0</v>
      </c>
      <c r="L173" s="193">
        <v>0</v>
      </c>
      <c r="M173" s="193">
        <v>115388773.06</v>
      </c>
      <c r="N173" s="193">
        <f>+K173+M173</f>
        <v>115388773.06</v>
      </c>
      <c r="O173" s="199">
        <v>0</v>
      </c>
      <c r="P173" s="183">
        <f>+J173-N173</f>
        <v>14611226.939999998</v>
      </c>
      <c r="Q173" s="184">
        <f>+N173/J173</f>
        <v>0.8876059466153846</v>
      </c>
    </row>
    <row r="174" spans="1:17" s="152" customFormat="1" ht="15">
      <c r="A174" s="191"/>
      <c r="B174" s="169" t="s">
        <v>310</v>
      </c>
      <c r="C174" s="178"/>
      <c r="D174" s="178"/>
      <c r="E174" s="179"/>
      <c r="F174" s="171" t="s">
        <v>311</v>
      </c>
      <c r="G174" s="181"/>
      <c r="H174" s="197">
        <f aca="true" t="shared" si="59" ref="H174:Q174">+H175</f>
        <v>21335732648.379997</v>
      </c>
      <c r="I174" s="197">
        <f t="shared" si="59"/>
        <v>0</v>
      </c>
      <c r="J174" s="197">
        <f t="shared" si="59"/>
        <v>21335732648.379997</v>
      </c>
      <c r="K174" s="197">
        <f t="shared" si="59"/>
        <v>0</v>
      </c>
      <c r="L174" s="197">
        <f t="shared" si="59"/>
        <v>0</v>
      </c>
      <c r="M174" s="197">
        <f t="shared" si="59"/>
        <v>0</v>
      </c>
      <c r="N174" s="197">
        <f t="shared" si="59"/>
        <v>0</v>
      </c>
      <c r="O174" s="200">
        <f t="shared" si="59"/>
        <v>0</v>
      </c>
      <c r="P174" s="182">
        <f t="shared" si="59"/>
        <v>21335732648.379997</v>
      </c>
      <c r="Q174" s="174">
        <f t="shared" si="59"/>
        <v>0</v>
      </c>
    </row>
    <row r="175" spans="1:17" s="152" customFormat="1" ht="15">
      <c r="A175" s="191"/>
      <c r="B175" s="169" t="s">
        <v>312</v>
      </c>
      <c r="C175" s="178"/>
      <c r="D175" s="178"/>
      <c r="E175" s="179"/>
      <c r="F175" s="171" t="s">
        <v>313</v>
      </c>
      <c r="G175" s="181">
        <f>+G176</f>
        <v>0</v>
      </c>
      <c r="H175" s="197">
        <f aca="true" t="shared" si="60" ref="H175:M175">+H176+H177</f>
        <v>21335732648.379997</v>
      </c>
      <c r="I175" s="197">
        <f t="shared" si="60"/>
        <v>0</v>
      </c>
      <c r="J175" s="197">
        <f t="shared" si="60"/>
        <v>21335732648.379997</v>
      </c>
      <c r="K175" s="197">
        <f t="shared" si="60"/>
        <v>0</v>
      </c>
      <c r="L175" s="197">
        <f t="shared" si="60"/>
        <v>0</v>
      </c>
      <c r="M175" s="197">
        <f t="shared" si="60"/>
        <v>0</v>
      </c>
      <c r="N175" s="197">
        <f aca="true" t="shared" si="61" ref="N175:O177">+K175+M175</f>
        <v>0</v>
      </c>
      <c r="O175" s="200">
        <f t="shared" si="61"/>
        <v>0</v>
      </c>
      <c r="P175" s="182">
        <f>+P176+P177</f>
        <v>21335732648.379997</v>
      </c>
      <c r="Q175" s="174">
        <f>+N175/J175</f>
        <v>0</v>
      </c>
    </row>
    <row r="176" spans="1:17" s="152" customFormat="1" ht="15">
      <c r="A176" s="191"/>
      <c r="B176" s="192" t="s">
        <v>314</v>
      </c>
      <c r="C176" s="178">
        <v>99999</v>
      </c>
      <c r="D176" s="178">
        <v>999999</v>
      </c>
      <c r="E176" s="179" t="s">
        <v>287</v>
      </c>
      <c r="F176" s="180" t="s">
        <v>315</v>
      </c>
      <c r="G176" s="181"/>
      <c r="H176" s="193">
        <v>8753341275.38</v>
      </c>
      <c r="I176" s="197"/>
      <c r="J176" s="193">
        <f>+G176+H176-I176</f>
        <v>8753341275.38</v>
      </c>
      <c r="K176" s="183">
        <f>+'[1]Noviembre 2016'!N176</f>
        <v>0</v>
      </c>
      <c r="L176" s="193"/>
      <c r="M176" s="193"/>
      <c r="N176" s="193">
        <f t="shared" si="61"/>
        <v>0</v>
      </c>
      <c r="O176" s="201">
        <f t="shared" si="61"/>
        <v>0</v>
      </c>
      <c r="P176" s="183">
        <f>+J176-N176</f>
        <v>8753341275.38</v>
      </c>
      <c r="Q176" s="184">
        <f>+N176/J176</f>
        <v>0</v>
      </c>
    </row>
    <row r="177" spans="1:17" s="152" customFormat="1" ht="15">
      <c r="A177" s="191"/>
      <c r="B177" s="192" t="s">
        <v>316</v>
      </c>
      <c r="C177" s="178">
        <v>99999</v>
      </c>
      <c r="D177" s="178">
        <v>999999</v>
      </c>
      <c r="E177" s="179" t="s">
        <v>287</v>
      </c>
      <c r="F177" s="180" t="s">
        <v>317</v>
      </c>
      <c r="G177" s="181"/>
      <c r="H177" s="193">
        <v>12582391373</v>
      </c>
      <c r="I177" s="197"/>
      <c r="J177" s="193">
        <f>+G177+H177-I177</f>
        <v>12582391373</v>
      </c>
      <c r="K177" s="183">
        <f>+'[1]Noviembre 2016'!N177</f>
        <v>0</v>
      </c>
      <c r="L177" s="193"/>
      <c r="M177" s="193"/>
      <c r="N177" s="193">
        <f t="shared" si="61"/>
        <v>0</v>
      </c>
      <c r="O177" s="201">
        <f t="shared" si="61"/>
        <v>0</v>
      </c>
      <c r="P177" s="183">
        <f>+J177-N177</f>
        <v>12582391373</v>
      </c>
      <c r="Q177" s="184">
        <f>+N177/J177</f>
        <v>0</v>
      </c>
    </row>
    <row r="178" spans="1:17" s="152" customFormat="1" ht="15">
      <c r="A178" s="191"/>
      <c r="B178" s="169" t="s">
        <v>318</v>
      </c>
      <c r="C178" s="170"/>
      <c r="D178" s="170"/>
      <c r="E178" s="170"/>
      <c r="F178" s="171" t="s">
        <v>319</v>
      </c>
      <c r="G178" s="172">
        <f>+G180</f>
        <v>0</v>
      </c>
      <c r="H178" s="193"/>
      <c r="I178" s="193"/>
      <c r="J178" s="173">
        <f>+J180</f>
        <v>0</v>
      </c>
      <c r="K178" s="173">
        <f aca="true" t="shared" si="62" ref="K178:P178">+K180</f>
        <v>0</v>
      </c>
      <c r="L178" s="173">
        <f t="shared" si="62"/>
        <v>0</v>
      </c>
      <c r="M178" s="173">
        <f t="shared" si="62"/>
        <v>0</v>
      </c>
      <c r="N178" s="173">
        <f t="shared" si="62"/>
        <v>0</v>
      </c>
      <c r="O178" s="195">
        <f t="shared" si="62"/>
        <v>0</v>
      </c>
      <c r="P178" s="173">
        <f t="shared" si="62"/>
        <v>0</v>
      </c>
      <c r="Q178" s="174">
        <v>0</v>
      </c>
    </row>
    <row r="179" spans="1:17" s="152" customFormat="1" ht="15">
      <c r="A179" s="191"/>
      <c r="B179" s="169" t="s">
        <v>320</v>
      </c>
      <c r="C179" s="170"/>
      <c r="D179" s="170"/>
      <c r="E179" s="170"/>
      <c r="F179" s="171" t="s">
        <v>321</v>
      </c>
      <c r="G179" s="196">
        <f>+G180</f>
        <v>0</v>
      </c>
      <c r="H179" s="197"/>
      <c r="I179" s="193"/>
      <c r="J179" s="197">
        <f>+J180</f>
        <v>0</v>
      </c>
      <c r="K179" s="197">
        <f aca="true" t="shared" si="63" ref="K179:P179">+K180</f>
        <v>0</v>
      </c>
      <c r="L179" s="197">
        <f t="shared" si="63"/>
        <v>0</v>
      </c>
      <c r="M179" s="197">
        <f t="shared" si="63"/>
        <v>0</v>
      </c>
      <c r="N179" s="197">
        <f t="shared" si="63"/>
        <v>0</v>
      </c>
      <c r="O179" s="200">
        <f t="shared" si="63"/>
        <v>0</v>
      </c>
      <c r="P179" s="197">
        <f t="shared" si="63"/>
        <v>0</v>
      </c>
      <c r="Q179" s="174">
        <v>0</v>
      </c>
    </row>
    <row r="180" spans="1:17" s="152" customFormat="1" ht="15">
      <c r="A180" s="191"/>
      <c r="B180" s="192" t="s">
        <v>322</v>
      </c>
      <c r="C180" s="178">
        <v>99999</v>
      </c>
      <c r="D180" s="178">
        <v>999999</v>
      </c>
      <c r="E180" s="179" t="s">
        <v>287</v>
      </c>
      <c r="F180" s="180" t="s">
        <v>321</v>
      </c>
      <c r="G180" s="181">
        <v>0</v>
      </c>
      <c r="H180" s="193"/>
      <c r="I180" s="193"/>
      <c r="J180" s="193">
        <f>+G180+H180-I180</f>
        <v>0</v>
      </c>
      <c r="K180" s="193">
        <f>+'[1]ABRIL 2016'!O176</f>
        <v>0</v>
      </c>
      <c r="L180" s="187"/>
      <c r="M180" s="187"/>
      <c r="N180" s="193">
        <f>+K180+M180</f>
        <v>0</v>
      </c>
      <c r="O180" s="199"/>
      <c r="P180" s="183">
        <f>+J180-N180</f>
        <v>0</v>
      </c>
      <c r="Q180" s="184">
        <v>0</v>
      </c>
    </row>
    <row r="181" spans="1:17" s="152" customFormat="1" ht="15">
      <c r="A181" s="202"/>
      <c r="B181" s="169" t="s">
        <v>323</v>
      </c>
      <c r="C181" s="170"/>
      <c r="D181" s="170"/>
      <c r="E181" s="170"/>
      <c r="F181" s="171" t="s">
        <v>324</v>
      </c>
      <c r="G181" s="172">
        <f>+G183+G184+G185</f>
        <v>29227579000</v>
      </c>
      <c r="H181" s="173">
        <f>+H183+H184+H185</f>
        <v>0</v>
      </c>
      <c r="I181" s="173">
        <f>+I183+I184+I185</f>
        <v>28314551719</v>
      </c>
      <c r="J181" s="173">
        <f>+J183+J184+J185</f>
        <v>913027281</v>
      </c>
      <c r="K181" s="173">
        <f aca="true" t="shared" si="64" ref="K181:P181">+K183+K184+K185</f>
        <v>0</v>
      </c>
      <c r="L181" s="173">
        <f t="shared" si="64"/>
        <v>0</v>
      </c>
      <c r="M181" s="173">
        <f t="shared" si="64"/>
        <v>1078560000</v>
      </c>
      <c r="N181" s="173">
        <f t="shared" si="64"/>
        <v>1078560000</v>
      </c>
      <c r="O181" s="195">
        <f t="shared" si="64"/>
        <v>0</v>
      </c>
      <c r="P181" s="173">
        <f t="shared" si="64"/>
        <v>-165532719</v>
      </c>
      <c r="Q181" s="174">
        <f>+N181/J181</f>
        <v>1.1813009561102041</v>
      </c>
    </row>
    <row r="182" spans="1:18" s="152" customFormat="1" ht="15">
      <c r="A182" s="191"/>
      <c r="B182" s="169" t="s">
        <v>325</v>
      </c>
      <c r="C182" s="170"/>
      <c r="D182" s="170"/>
      <c r="E182" s="170"/>
      <c r="F182" s="171" t="s">
        <v>326</v>
      </c>
      <c r="G182" s="196">
        <f>SUM(G183:G185)</f>
        <v>29227579000</v>
      </c>
      <c r="H182" s="197">
        <f>SUM(H183:H185)</f>
        <v>0</v>
      </c>
      <c r="I182" s="197">
        <f>SUM(I183:I185)</f>
        <v>28314551719</v>
      </c>
      <c r="J182" s="197">
        <f>SUM(J183:J185)</f>
        <v>913027281</v>
      </c>
      <c r="K182" s="197">
        <f aca="true" t="shared" si="65" ref="K182:P182">SUM(K183:K185)</f>
        <v>0</v>
      </c>
      <c r="L182" s="197">
        <f t="shared" si="65"/>
        <v>0</v>
      </c>
      <c r="M182" s="197">
        <f t="shared" si="65"/>
        <v>1078560000</v>
      </c>
      <c r="N182" s="197">
        <f t="shared" si="65"/>
        <v>1078560000</v>
      </c>
      <c r="O182" s="200">
        <f t="shared" si="65"/>
        <v>0</v>
      </c>
      <c r="P182" s="197">
        <f t="shared" si="65"/>
        <v>-165532719</v>
      </c>
      <c r="Q182" s="174">
        <f>+N182/J182</f>
        <v>1.1813009561102041</v>
      </c>
      <c r="R182" s="175"/>
    </row>
    <row r="183" spans="1:17" s="152" customFormat="1" ht="15">
      <c r="A183" s="191"/>
      <c r="B183" s="192" t="s">
        <v>327</v>
      </c>
      <c r="C183" s="178">
        <v>99999</v>
      </c>
      <c r="D183" s="178">
        <v>999999</v>
      </c>
      <c r="E183" s="179" t="s">
        <v>287</v>
      </c>
      <c r="F183" s="180" t="s">
        <v>328</v>
      </c>
      <c r="G183" s="181">
        <v>856967000</v>
      </c>
      <c r="H183" s="197"/>
      <c r="I183" s="193"/>
      <c r="J183" s="193">
        <f>+G183+H183-I183</f>
        <v>856967000</v>
      </c>
      <c r="K183" s="183">
        <f>+'[1]Octubre 2016'!N179</f>
        <v>0</v>
      </c>
      <c r="L183" s="193"/>
      <c r="M183" s="193">
        <v>1078560000</v>
      </c>
      <c r="N183" s="193">
        <f>+K183+M183</f>
        <v>1078560000</v>
      </c>
      <c r="O183" s="199"/>
      <c r="P183" s="183">
        <f>+J183-N183</f>
        <v>-221593000</v>
      </c>
      <c r="Q183" s="184">
        <f>+N183/J183</f>
        <v>1.2585782182977874</v>
      </c>
    </row>
    <row r="184" spans="1:17" s="152" customFormat="1" ht="15">
      <c r="A184" s="191"/>
      <c r="B184" s="192" t="s">
        <v>329</v>
      </c>
      <c r="C184" s="178">
        <v>99999</v>
      </c>
      <c r="D184" s="178">
        <v>999999</v>
      </c>
      <c r="E184" s="179" t="s">
        <v>287</v>
      </c>
      <c r="F184" s="180" t="s">
        <v>330</v>
      </c>
      <c r="G184" s="181">
        <v>27744612000</v>
      </c>
      <c r="H184" s="193">
        <v>0</v>
      </c>
      <c r="I184" s="193">
        <f>21335732648+6408879352</f>
        <v>27744612000</v>
      </c>
      <c r="J184" s="193">
        <f>+G184+H184-I184</f>
        <v>0</v>
      </c>
      <c r="K184" s="183">
        <f>+'[1]Noviembre 2016'!N184</f>
        <v>0</v>
      </c>
      <c r="L184" s="187"/>
      <c r="M184" s="187">
        <v>0</v>
      </c>
      <c r="N184" s="193">
        <f>+K184+M184</f>
        <v>0</v>
      </c>
      <c r="O184" s="199"/>
      <c r="P184" s="183">
        <f>+J184-N184</f>
        <v>0</v>
      </c>
      <c r="Q184" s="184"/>
    </row>
    <row r="185" spans="1:17" s="152" customFormat="1" ht="15">
      <c r="A185" s="191"/>
      <c r="B185" s="192" t="s">
        <v>331</v>
      </c>
      <c r="C185" s="178">
        <v>99999</v>
      </c>
      <c r="D185" s="178">
        <v>999999</v>
      </c>
      <c r="E185" s="179" t="s">
        <v>287</v>
      </c>
      <c r="F185" s="180" t="s">
        <v>332</v>
      </c>
      <c r="G185" s="181">
        <v>626000000</v>
      </c>
      <c r="H185" s="193"/>
      <c r="I185" s="193">
        <v>569939719</v>
      </c>
      <c r="J185" s="193">
        <f>+G185+H185-I185</f>
        <v>56060281</v>
      </c>
      <c r="K185" s="183">
        <f>+'[1]Noviembre 2016'!N185</f>
        <v>0</v>
      </c>
      <c r="L185" s="187"/>
      <c r="M185" s="187"/>
      <c r="N185" s="193">
        <f>+K185+M185</f>
        <v>0</v>
      </c>
      <c r="O185" s="199"/>
      <c r="P185" s="183">
        <f>+J185-N185</f>
        <v>56060281</v>
      </c>
      <c r="Q185" s="184">
        <f>+N185/J185</f>
        <v>0</v>
      </c>
    </row>
    <row r="186" spans="1:17" s="152" customFormat="1" ht="15">
      <c r="A186" s="191"/>
      <c r="B186" s="232" t="s">
        <v>333</v>
      </c>
      <c r="C186" s="233"/>
      <c r="D186" s="233"/>
      <c r="E186" s="233"/>
      <c r="F186" s="234"/>
      <c r="G186" s="172">
        <f aca="true" t="shared" si="66" ref="G186:P186">+G158+G170</f>
        <v>39403579000</v>
      </c>
      <c r="H186" s="172">
        <f t="shared" si="66"/>
        <v>21335732648.379997</v>
      </c>
      <c r="I186" s="172">
        <f t="shared" si="66"/>
        <v>28314551719</v>
      </c>
      <c r="J186" s="173">
        <f t="shared" si="66"/>
        <v>32424759929.379997</v>
      </c>
      <c r="K186" s="173">
        <f t="shared" si="66"/>
        <v>0</v>
      </c>
      <c r="L186" s="173">
        <f t="shared" si="66"/>
        <v>0</v>
      </c>
      <c r="M186" s="173">
        <f t="shared" si="66"/>
        <v>2481517685.1</v>
      </c>
      <c r="N186" s="173">
        <f t="shared" si="66"/>
        <v>2481517685.1</v>
      </c>
      <c r="O186" s="195">
        <f t="shared" si="66"/>
        <v>0</v>
      </c>
      <c r="P186" s="173">
        <f t="shared" si="66"/>
        <v>29943242244.279995</v>
      </c>
      <c r="Q186" s="174">
        <f>+N186/J186</f>
        <v>0.07653156694157981</v>
      </c>
    </row>
    <row r="187" spans="1:17" s="152" customFormat="1" ht="15">
      <c r="A187" s="191"/>
      <c r="B187" s="169" t="s">
        <v>334</v>
      </c>
      <c r="C187" s="178"/>
      <c r="D187" s="178"/>
      <c r="E187" s="179"/>
      <c r="F187" s="171" t="s">
        <v>335</v>
      </c>
      <c r="G187" s="172">
        <f>+G188</f>
        <v>7500000000</v>
      </c>
      <c r="H187" s="173">
        <f>+H188</f>
        <v>2000000000</v>
      </c>
      <c r="I187" s="173">
        <f>+I188</f>
        <v>0</v>
      </c>
      <c r="J187" s="173">
        <f>+J188</f>
        <v>9500000000</v>
      </c>
      <c r="K187" s="173">
        <f aca="true" t="shared" si="67" ref="K187:P188">+K188</f>
        <v>0</v>
      </c>
      <c r="L187" s="173">
        <f t="shared" si="67"/>
        <v>0</v>
      </c>
      <c r="M187" s="173">
        <f t="shared" si="67"/>
        <v>2000000000</v>
      </c>
      <c r="N187" s="173">
        <f t="shared" si="67"/>
        <v>2000000000</v>
      </c>
      <c r="O187" s="173">
        <f t="shared" si="67"/>
        <v>0</v>
      </c>
      <c r="P187" s="173">
        <f t="shared" si="67"/>
        <v>7500000000</v>
      </c>
      <c r="Q187" s="174">
        <f>+N187/J187</f>
        <v>0.21052631578947367</v>
      </c>
    </row>
    <row r="188" spans="1:17" s="152" customFormat="1" ht="36">
      <c r="A188" s="191"/>
      <c r="B188" s="169" t="s">
        <v>336</v>
      </c>
      <c r="C188" s="178"/>
      <c r="D188" s="178"/>
      <c r="E188" s="179"/>
      <c r="F188" s="204" t="s">
        <v>337</v>
      </c>
      <c r="G188" s="172">
        <f>+G189</f>
        <v>7500000000</v>
      </c>
      <c r="H188" s="197">
        <f>SUM(H189)</f>
        <v>2000000000</v>
      </c>
      <c r="I188" s="173">
        <f>+I189</f>
        <v>0</v>
      </c>
      <c r="J188" s="173">
        <f>+J189</f>
        <v>9500000000</v>
      </c>
      <c r="K188" s="173">
        <f t="shared" si="67"/>
        <v>0</v>
      </c>
      <c r="L188" s="173">
        <f t="shared" si="67"/>
        <v>0</v>
      </c>
      <c r="M188" s="173">
        <f t="shared" si="67"/>
        <v>2000000000</v>
      </c>
      <c r="N188" s="173">
        <f t="shared" si="67"/>
        <v>2000000000</v>
      </c>
      <c r="O188" s="173">
        <f t="shared" si="67"/>
        <v>0</v>
      </c>
      <c r="P188" s="173">
        <f t="shared" si="67"/>
        <v>7500000000</v>
      </c>
      <c r="Q188" s="174">
        <f>+(N188+O188)/J188</f>
        <v>0.21052631578947367</v>
      </c>
    </row>
    <row r="189" spans="1:17" s="152" customFormat="1" ht="15">
      <c r="A189" s="191"/>
      <c r="B189" s="192" t="s">
        <v>338</v>
      </c>
      <c r="C189" s="178"/>
      <c r="D189" s="178"/>
      <c r="E189" s="179" t="s">
        <v>339</v>
      </c>
      <c r="F189" s="180" t="s">
        <v>340</v>
      </c>
      <c r="G189" s="181">
        <v>7500000000</v>
      </c>
      <c r="H189" s="193">
        <v>2000000000</v>
      </c>
      <c r="I189" s="193"/>
      <c r="J189" s="193">
        <f>+G189+H189-I189</f>
        <v>9500000000</v>
      </c>
      <c r="K189" s="183">
        <f>+'[1]Noviembre 2016'!N189</f>
        <v>0</v>
      </c>
      <c r="L189" s="187">
        <v>0</v>
      </c>
      <c r="M189" s="187">
        <v>2000000000</v>
      </c>
      <c r="N189" s="193">
        <f>+K189+M189</f>
        <v>2000000000</v>
      </c>
      <c r="O189" s="183">
        <v>0</v>
      </c>
      <c r="P189" s="183">
        <f>+J189-N189</f>
        <v>7500000000</v>
      </c>
      <c r="Q189" s="184">
        <f>+N189/J189</f>
        <v>0.21052631578947367</v>
      </c>
    </row>
    <row r="190" spans="1:17" s="152" customFormat="1" ht="15">
      <c r="A190" s="191"/>
      <c r="B190" s="205" t="s">
        <v>341</v>
      </c>
      <c r="C190" s="203"/>
      <c r="D190" s="203"/>
      <c r="E190" s="203"/>
      <c r="F190" s="206"/>
      <c r="G190" s="172">
        <f>+G188</f>
        <v>7500000000</v>
      </c>
      <c r="H190" s="172">
        <f>+H188</f>
        <v>2000000000</v>
      </c>
      <c r="I190" s="172">
        <f>+I188</f>
        <v>0</v>
      </c>
      <c r="J190" s="173">
        <f>+J188</f>
        <v>9500000000</v>
      </c>
      <c r="K190" s="173">
        <f aca="true" t="shared" si="68" ref="K190:P190">+K188</f>
        <v>0</v>
      </c>
      <c r="L190" s="173">
        <f t="shared" si="68"/>
        <v>0</v>
      </c>
      <c r="M190" s="173">
        <f t="shared" si="68"/>
        <v>2000000000</v>
      </c>
      <c r="N190" s="173">
        <f t="shared" si="68"/>
        <v>2000000000</v>
      </c>
      <c r="O190" s="173">
        <f t="shared" si="68"/>
        <v>0</v>
      </c>
      <c r="P190" s="173">
        <f t="shared" si="68"/>
        <v>7500000000</v>
      </c>
      <c r="Q190" s="174">
        <f>+N190/J190</f>
        <v>0.21052631578947367</v>
      </c>
    </row>
    <row r="191" spans="1:17" s="152" customFormat="1" ht="15.75" thickBot="1">
      <c r="A191" s="191"/>
      <c r="B191" s="235" t="s">
        <v>342</v>
      </c>
      <c r="C191" s="236"/>
      <c r="D191" s="236"/>
      <c r="E191" s="236"/>
      <c r="F191" s="237"/>
      <c r="G191" s="207">
        <f aca="true" t="shared" si="69" ref="G191:P191">+G158+G170+G187</f>
        <v>46903579000</v>
      </c>
      <c r="H191" s="207">
        <f t="shared" si="69"/>
        <v>23335732648.379997</v>
      </c>
      <c r="I191" s="207">
        <f t="shared" si="69"/>
        <v>28314551719</v>
      </c>
      <c r="J191" s="208">
        <f t="shared" si="69"/>
        <v>41924759929.38</v>
      </c>
      <c r="K191" s="208">
        <f t="shared" si="69"/>
        <v>0</v>
      </c>
      <c r="L191" s="208">
        <f t="shared" si="69"/>
        <v>0</v>
      </c>
      <c r="M191" s="209">
        <f t="shared" si="69"/>
        <v>4481517685.1</v>
      </c>
      <c r="N191" s="208">
        <f t="shared" si="69"/>
        <v>4481517685.1</v>
      </c>
      <c r="O191" s="210">
        <f t="shared" si="69"/>
        <v>0</v>
      </c>
      <c r="P191" s="208">
        <f t="shared" si="69"/>
        <v>37443242244.28</v>
      </c>
      <c r="Q191" s="174">
        <f>+N191/J191</f>
        <v>0.10689429570136778</v>
      </c>
    </row>
    <row r="192" spans="1:16" s="152" customFormat="1" ht="14.25">
      <c r="A192" s="211"/>
      <c r="B192" s="238"/>
      <c r="C192" s="239"/>
      <c r="D192" s="239"/>
      <c r="E192" s="239"/>
      <c r="F192" s="239"/>
      <c r="M192" s="175"/>
      <c r="N192" s="212"/>
      <c r="O192" s="175"/>
      <c r="P192" s="213"/>
    </row>
    <row r="193" spans="1:17" s="215" customFormat="1" ht="14.25">
      <c r="A193" s="214"/>
      <c r="B193" s="240"/>
      <c r="C193" s="240"/>
      <c r="D193" s="240"/>
      <c r="E193" s="240"/>
      <c r="F193" s="240"/>
      <c r="M193" s="216"/>
      <c r="N193" s="217"/>
      <c r="O193" s="216"/>
      <c r="P193" s="216"/>
      <c r="Q193" s="218"/>
    </row>
    <row r="194" spans="1:16" s="152" customFormat="1" ht="15">
      <c r="A194" s="211"/>
      <c r="G194" s="213"/>
      <c r="K194" s="219"/>
      <c r="M194" s="175"/>
      <c r="N194" s="220"/>
      <c r="O194" s="175"/>
      <c r="P194" s="213"/>
    </row>
    <row r="195" spans="1:17" s="152" customFormat="1" ht="14.25">
      <c r="A195" s="211"/>
      <c r="G195" s="213"/>
      <c r="K195" s="219"/>
      <c r="M195" s="175"/>
      <c r="N195" s="212"/>
      <c r="O195" s="175"/>
      <c r="P195" s="221"/>
      <c r="Q195" s="213"/>
    </row>
    <row r="196" spans="1:17" s="152" customFormat="1" ht="14.25">
      <c r="A196" s="211"/>
      <c r="K196" s="219"/>
      <c r="L196" s="213"/>
      <c r="M196" s="175"/>
      <c r="N196" s="222"/>
      <c r="P196" s="175"/>
      <c r="Q196" s="213"/>
    </row>
    <row r="197" spans="1:17" s="152" customFormat="1" ht="15">
      <c r="A197" s="211"/>
      <c r="F197" s="241" t="s">
        <v>255</v>
      </c>
      <c r="G197" s="241"/>
      <c r="H197" s="223"/>
      <c r="I197" s="242" t="s">
        <v>256</v>
      </c>
      <c r="J197" s="242"/>
      <c r="K197" s="224"/>
      <c r="L197" s="225"/>
      <c r="M197" s="241" t="s">
        <v>343</v>
      </c>
      <c r="N197" s="241"/>
      <c r="O197" s="241"/>
      <c r="P197" s="225"/>
      <c r="Q197" s="225"/>
    </row>
    <row r="198" spans="1:17" s="152" customFormat="1" ht="14.25" customHeight="1">
      <c r="A198" s="211"/>
      <c r="F198" s="229" t="s">
        <v>344</v>
      </c>
      <c r="G198" s="229"/>
      <c r="H198" s="226"/>
      <c r="I198" s="229" t="s">
        <v>345</v>
      </c>
      <c r="J198" s="229"/>
      <c r="K198" s="227"/>
      <c r="L198" s="228"/>
      <c r="M198" s="229" t="s">
        <v>346</v>
      </c>
      <c r="N198" s="229"/>
      <c r="O198" s="229"/>
      <c r="P198" s="228"/>
      <c r="Q198" s="228"/>
    </row>
    <row r="199" spans="1:13" s="152" customFormat="1" ht="14.25">
      <c r="A199" s="211"/>
      <c r="B199" s="152" t="s">
        <v>347</v>
      </c>
      <c r="M199" s="175"/>
    </row>
    <row r="200" ht="12.75">
      <c r="N200" s="6"/>
    </row>
    <row r="201" ht="12.75">
      <c r="N201" s="6"/>
    </row>
    <row r="202" ht="12.75">
      <c r="N202" s="6"/>
    </row>
    <row r="203" ht="12.75">
      <c r="N203" s="6"/>
    </row>
    <row r="204" ht="12.75">
      <c r="N204" s="6"/>
    </row>
    <row r="205" ht="12.75">
      <c r="N205" s="6"/>
    </row>
    <row r="206" ht="12.75">
      <c r="N206" s="6"/>
    </row>
    <row r="207" ht="12.75">
      <c r="N207" s="6"/>
    </row>
    <row r="208" ht="12.75">
      <c r="N208" s="6"/>
    </row>
    <row r="209" ht="12.75">
      <c r="N209" s="6"/>
    </row>
    <row r="210" ht="12.75">
      <c r="N210" s="6"/>
    </row>
    <row r="211" ht="12.75">
      <c r="N211" s="6"/>
    </row>
    <row r="212" ht="12.75">
      <c r="N212" s="6"/>
    </row>
  </sheetData>
  <sheetProtection/>
  <mergeCells count="28">
    <mergeCell ref="A2:O2"/>
    <mergeCell ref="A3:O3"/>
    <mergeCell ref="A4:O4"/>
    <mergeCell ref="A5:O5"/>
    <mergeCell ref="A147:B147"/>
    <mergeCell ref="G150:H150"/>
    <mergeCell ref="B152:I152"/>
    <mergeCell ref="B153:I153"/>
    <mergeCell ref="B154:F156"/>
    <mergeCell ref="G154:G155"/>
    <mergeCell ref="H154:H155"/>
    <mergeCell ref="I154:I155"/>
    <mergeCell ref="J154:J155"/>
    <mergeCell ref="K154:L155"/>
    <mergeCell ref="M154:M156"/>
    <mergeCell ref="N154:N156"/>
    <mergeCell ref="O154:O156"/>
    <mergeCell ref="P154:P156"/>
    <mergeCell ref="F198:G198"/>
    <mergeCell ref="I198:J198"/>
    <mergeCell ref="M198:O198"/>
    <mergeCell ref="Q154:Q156"/>
    <mergeCell ref="B186:F186"/>
    <mergeCell ref="B191:F191"/>
    <mergeCell ref="B192:F193"/>
    <mergeCell ref="F197:G197"/>
    <mergeCell ref="I197:J197"/>
    <mergeCell ref="M197:O197"/>
  </mergeCells>
  <printOptions/>
  <pageMargins left="0.72" right="0.17" top="0.9448818897637796" bottom="0.97" header="0.3937007874015748" footer="0.15748031496062992"/>
  <pageSetup horizontalDpi="600" verticalDpi="600" orientation="landscape" paperSize="141" scale="62" r:id="rId2"/>
  <headerFooter alignWithMargins="0">
    <oddHeader>&amp;C&amp;G&amp;R&amp;P</oddHeader>
    <oddFooter>&amp;LPrimera Versión, Junio de 2014       BEN-F-SF-P-5200-01&amp;C&amp;"Arial,Negrita"&amp;9Sede Administrativa. Calle 26  51-53.  Torre Beneficencia Piso 6.
Bogotá, D.C. Tel.: 749 11 15 / 1114
www.beneficenciacundinamarca.gov.co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Ines Boton Macana</dc:creator>
  <cp:keywords/>
  <dc:description/>
  <cp:lastModifiedBy>Maria Ines Boton Macana</cp:lastModifiedBy>
  <dcterms:created xsi:type="dcterms:W3CDTF">2017-01-31T21:25:59Z</dcterms:created>
  <dcterms:modified xsi:type="dcterms:W3CDTF">2017-01-31T21:28:41Z</dcterms:modified>
  <cp:category/>
  <cp:version/>
  <cp:contentType/>
  <cp:contentStatus/>
</cp:coreProperties>
</file>